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boucles de seine\site web association asbds\2021\moulinettes qui fonctionnent au 18 avril 2021\"/>
    </mc:Choice>
  </mc:AlternateContent>
  <xr:revisionPtr revIDLastSave="0" documentId="13_ncr:1_{BA73CF9D-334D-48DE-AF83-C1316BB454F8}" xr6:coauthVersionLast="46" xr6:coauthVersionMax="46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GOLFS" sheetId="23" r:id="rId1"/>
    <sheet name="FICHE PARTIE" sheetId="24" r:id="rId2"/>
    <sheet name="liste déroulante" sheetId="25" state="hidden" r:id="rId3"/>
  </sheets>
  <definedNames>
    <definedName name="nom">GOLFS!$B:$B</definedName>
    <definedName name="slope">GOLFS!$D:$D</definedName>
    <definedName name="sssgolf">GOLFS!$F:$F</definedName>
    <definedName name="trou1">GOLFS!$L:$L</definedName>
    <definedName name="trou10">GOLFS!$U:$U</definedName>
    <definedName name="trou11">GOLFS!$V:$V</definedName>
    <definedName name="trou12">GOLFS!$W:$W</definedName>
    <definedName name="trou13">GOLFS!$X:$X</definedName>
    <definedName name="trou14">GOLFS!$Y:$Y</definedName>
    <definedName name="trou15">GOLFS!$Z:$Z</definedName>
    <definedName name="trou16">GOLFS!$AA:$AA</definedName>
    <definedName name="trou17">GOLFS!$AB:$AB</definedName>
    <definedName name="trou18">GOLFS!$AC:$AC</definedName>
    <definedName name="trou2">GOLFS!$M:$M</definedName>
    <definedName name="trou3">GOLFS!$N:$N</definedName>
    <definedName name="trou4">GOLFS!$O:$O</definedName>
    <definedName name="trou5">GOLFS!$P:$P</definedName>
    <definedName name="trou6">GOLFS!$Q:$Q</definedName>
    <definedName name="trou7">GOLFS!$R:$R</definedName>
    <definedName name="trou8">GOLFS!$S:$S</definedName>
    <definedName name="trou9">GOLFS!$T:$T</definedName>
  </definedNames>
  <calcPr calcId="191029"/>
</workbook>
</file>

<file path=xl/calcChain.xml><?xml version="1.0" encoding="utf-8"?>
<calcChain xmlns="http://schemas.openxmlformats.org/spreadsheetml/2006/main">
  <c r="E3" i="24" l="1"/>
  <c r="E5" i="24"/>
  <c r="C9" i="24"/>
  <c r="C8" i="24"/>
  <c r="U35" i="25"/>
  <c r="W35" i="25" s="1"/>
  <c r="S27" i="25"/>
  <c r="S24" i="25"/>
  <c r="S25" i="25"/>
  <c r="S26" i="25"/>
  <c r="S28" i="25"/>
  <c r="G7" i="25"/>
  <c r="K7" i="25" s="1"/>
  <c r="K43" i="25"/>
  <c r="Q7" i="25"/>
  <c r="F20" i="24" s="1"/>
  <c r="G3" i="25"/>
  <c r="Q3" i="25" s="1"/>
  <c r="F16" i="24" s="1"/>
  <c r="G15" i="25"/>
  <c r="Q15" i="25"/>
  <c r="F28" i="24" s="1"/>
  <c r="K33" i="25"/>
  <c r="G1" i="25"/>
  <c r="K1" i="25" s="1"/>
  <c r="K55" i="25"/>
  <c r="G5" i="25"/>
  <c r="K59" i="25" s="1"/>
  <c r="K41" i="25"/>
  <c r="G18" i="25"/>
  <c r="Q18" i="25" s="1"/>
  <c r="F31" i="24" s="1"/>
  <c r="G9" i="25"/>
  <c r="K45" i="25" s="1"/>
  <c r="K27" i="25"/>
  <c r="G4" i="25"/>
  <c r="K58" i="25" s="1"/>
  <c r="G8" i="25"/>
  <c r="Q8" i="25" s="1"/>
  <c r="F21" i="24" s="1"/>
  <c r="K44" i="25"/>
  <c r="G13" i="25"/>
  <c r="K13" i="25" s="1"/>
  <c r="K49" i="25"/>
  <c r="G11" i="25"/>
  <c r="K65" i="25"/>
  <c r="G12" i="25"/>
  <c r="K30" i="25" s="1"/>
  <c r="K66" i="25"/>
  <c r="G10" i="25"/>
  <c r="K64" i="25"/>
  <c r="G16" i="25"/>
  <c r="Q16" i="25" s="1"/>
  <c r="F29" i="24" s="1"/>
  <c r="K70" i="25"/>
  <c r="G14" i="25"/>
  <c r="K14" i="25"/>
  <c r="K50" i="25"/>
  <c r="Q14" i="25"/>
  <c r="F27" i="24" s="1"/>
  <c r="G17" i="25"/>
  <c r="K53" i="25" s="1"/>
  <c r="G2" i="25"/>
  <c r="K20" i="25" s="1"/>
  <c r="K56" i="25"/>
  <c r="G6" i="25"/>
  <c r="K60" i="25" s="1"/>
  <c r="Q6" i="25"/>
  <c r="F19" i="24" s="1"/>
  <c r="C31" i="24"/>
  <c r="H2" i="25" s="1"/>
  <c r="C30" i="24"/>
  <c r="E57" i="24" s="1"/>
  <c r="C29" i="24"/>
  <c r="H14" i="25" s="1"/>
  <c r="C28" i="24"/>
  <c r="H16" i="25" s="1"/>
  <c r="C27" i="24"/>
  <c r="H10" i="25" s="1"/>
  <c r="C26" i="24"/>
  <c r="E53" i="24" s="1"/>
  <c r="C25" i="24"/>
  <c r="E52" i="24" s="1"/>
  <c r="C24" i="24"/>
  <c r="H13" i="25" s="1"/>
  <c r="C23" i="24"/>
  <c r="E50" i="24" s="1"/>
  <c r="C22" i="24"/>
  <c r="H4" i="25" s="1"/>
  <c r="C21" i="24"/>
  <c r="E48" i="24" s="1"/>
  <c r="C20" i="24"/>
  <c r="E47" i="24" s="1"/>
  <c r="C19" i="24"/>
  <c r="H5" i="25" s="1"/>
  <c r="C18" i="24"/>
  <c r="H1" i="25" s="1"/>
  <c r="C17" i="24"/>
  <c r="E44" i="24" s="1"/>
  <c r="C16" i="24"/>
  <c r="E43" i="24" s="1"/>
  <c r="C15" i="24"/>
  <c r="H7" i="25" s="1"/>
  <c r="C14" i="24"/>
  <c r="E41" i="24" s="1"/>
  <c r="C7" i="24"/>
  <c r="E2" i="24"/>
  <c r="K19" i="25"/>
  <c r="K48" i="25"/>
  <c r="K4" i="25"/>
  <c r="K52" i="25"/>
  <c r="K37" i="25"/>
  <c r="K12" i="25"/>
  <c r="K24" i="25"/>
  <c r="K3" i="25"/>
  <c r="K39" i="25"/>
  <c r="K31" i="25"/>
  <c r="K54" i="25"/>
  <c r="K32" i="25"/>
  <c r="K9" i="25"/>
  <c r="K69" i="25"/>
  <c r="Q1" i="25"/>
  <c r="F14" i="24" s="1"/>
  <c r="K61" i="25"/>
  <c r="K68" i="25"/>
  <c r="K51" i="25"/>
  <c r="K26" i="25"/>
  <c r="Q5" i="25"/>
  <c r="F18" i="24" s="1"/>
  <c r="K29" i="25"/>
  <c r="Q9" i="25"/>
  <c r="F22" i="24" s="1"/>
  <c r="K11" i="25"/>
  <c r="K5" i="25"/>
  <c r="K23" i="25"/>
  <c r="K63" i="25"/>
  <c r="K62" i="25"/>
  <c r="K28" i="25"/>
  <c r="K25" i="25"/>
  <c r="K46" i="25"/>
  <c r="K67" i="25"/>
  <c r="K47" i="25"/>
  <c r="K34" i="25"/>
  <c r="K17" i="25"/>
  <c r="K10" i="25"/>
  <c r="Q11" i="25"/>
  <c r="F24" i="24" s="1"/>
  <c r="K15" i="25"/>
  <c r="K8" i="25"/>
  <c r="Q10" i="25"/>
  <c r="F23" i="24" s="1"/>
  <c r="S32" i="25"/>
  <c r="S33" i="25"/>
  <c r="S31" i="25"/>
  <c r="S34" i="25"/>
  <c r="S30" i="25"/>
  <c r="E49" i="24" l="1"/>
  <c r="H6" i="25"/>
  <c r="E46" i="24"/>
  <c r="H15" i="25"/>
  <c r="E55" i="24"/>
  <c r="H11" i="25"/>
  <c r="H3" i="25"/>
  <c r="E45" i="24"/>
  <c r="E42" i="24"/>
  <c r="H12" i="25"/>
  <c r="H18" i="25"/>
  <c r="H8" i="25"/>
  <c r="E56" i="24"/>
  <c r="E54" i="24"/>
  <c r="E51" i="24"/>
  <c r="H17" i="25"/>
  <c r="H9" i="25"/>
  <c r="A7" i="25"/>
  <c r="C10" i="24" s="1"/>
  <c r="J1" i="25" s="1"/>
  <c r="L58" i="25" s="1"/>
  <c r="M58" i="25" s="1"/>
  <c r="E58" i="24"/>
  <c r="K57" i="25"/>
  <c r="K71" i="25"/>
  <c r="K21" i="25"/>
  <c r="K18" i="25"/>
  <c r="K16" i="25"/>
  <c r="K38" i="25"/>
  <c r="Q12" i="25"/>
  <c r="F25" i="24" s="1"/>
  <c r="Q13" i="25"/>
  <c r="F26" i="24" s="1"/>
  <c r="K72" i="25"/>
  <c r="K35" i="25"/>
  <c r="Q2" i="25"/>
  <c r="F15" i="24" s="1"/>
  <c r="K6" i="25"/>
  <c r="K42" i="25"/>
  <c r="K40" i="25"/>
  <c r="K36" i="25"/>
  <c r="K2" i="25"/>
  <c r="Q4" i="25"/>
  <c r="F17" i="24" s="1"/>
  <c r="Q17" i="25"/>
  <c r="F30" i="24" s="1"/>
  <c r="K22" i="25"/>
  <c r="L64" i="25" l="1"/>
  <c r="M64" i="25" s="1"/>
  <c r="L70" i="25"/>
  <c r="M70" i="25" s="1"/>
  <c r="L50" i="25"/>
  <c r="M50" i="25" s="1"/>
  <c r="L51" i="25"/>
  <c r="M51" i="25" s="1"/>
  <c r="U24" i="25"/>
  <c r="W24" i="25" s="1"/>
  <c r="L24" i="25"/>
  <c r="M24" i="25" s="1"/>
  <c r="L38" i="25"/>
  <c r="M38" i="25" s="1"/>
  <c r="U28" i="25"/>
  <c r="W28" i="25" s="1"/>
  <c r="L22" i="25"/>
  <c r="M22" i="25" s="1"/>
  <c r="L47" i="25"/>
  <c r="M47" i="25" s="1"/>
  <c r="L55" i="25"/>
  <c r="M55" i="25" s="1"/>
  <c r="L21" i="25"/>
  <c r="M21" i="25" s="1"/>
  <c r="U31" i="25"/>
  <c r="W31" i="25" s="1"/>
  <c r="L33" i="25"/>
  <c r="M33" i="25" s="1"/>
  <c r="L25" i="25"/>
  <c r="M25" i="25" s="1"/>
  <c r="L40" i="25"/>
  <c r="M40" i="25" s="1"/>
  <c r="L62" i="25"/>
  <c r="M62" i="25" s="1"/>
  <c r="L23" i="25"/>
  <c r="M23" i="25" s="1"/>
  <c r="L60" i="25"/>
  <c r="M60" i="25" s="1"/>
  <c r="L31" i="25"/>
  <c r="M31" i="25" s="1"/>
  <c r="L12" i="25"/>
  <c r="M12" i="25" s="1"/>
  <c r="L69" i="25"/>
  <c r="M69" i="25" s="1"/>
  <c r="L1" i="25"/>
  <c r="M1" i="25" s="1"/>
  <c r="U30" i="25"/>
  <c r="W30" i="25" s="1"/>
  <c r="L32" i="25"/>
  <c r="M32" i="25" s="1"/>
  <c r="L41" i="25"/>
  <c r="M41" i="25" s="1"/>
  <c r="U38" i="25"/>
  <c r="W38" i="25" s="1"/>
  <c r="L48" i="25"/>
  <c r="M48" i="25" s="1"/>
  <c r="L36" i="25"/>
  <c r="M36" i="25" s="1"/>
  <c r="L35" i="25"/>
  <c r="M35" i="25" s="1"/>
  <c r="L20" i="25"/>
  <c r="M20" i="25" s="1"/>
  <c r="U36" i="25"/>
  <c r="W36" i="25" s="1"/>
  <c r="L16" i="25"/>
  <c r="M16" i="25" s="1"/>
  <c r="L39" i="25"/>
  <c r="M39" i="25" s="1"/>
  <c r="U26" i="25"/>
  <c r="W26" i="25" s="1"/>
  <c r="L37" i="25"/>
  <c r="M37" i="25" s="1"/>
  <c r="L28" i="25"/>
  <c r="M28" i="25" s="1"/>
  <c r="L52" i="25"/>
  <c r="M52" i="25" s="1"/>
  <c r="L56" i="25"/>
  <c r="M56" i="25" s="1"/>
  <c r="L4" i="25"/>
  <c r="M4" i="25" s="1"/>
  <c r="L71" i="25"/>
  <c r="M71" i="25" s="1"/>
  <c r="L42" i="25"/>
  <c r="M42" i="25" s="1"/>
  <c r="L49" i="25"/>
  <c r="M49" i="25" s="1"/>
  <c r="L43" i="25"/>
  <c r="M43" i="25" s="1"/>
  <c r="L19" i="25"/>
  <c r="M19" i="25" s="1"/>
  <c r="L2" i="25"/>
  <c r="M2" i="25" s="1"/>
  <c r="L29" i="25"/>
  <c r="M29" i="25" s="1"/>
  <c r="U33" i="25"/>
  <c r="W33" i="25" s="1"/>
  <c r="L65" i="25"/>
  <c r="M65" i="25" s="1"/>
  <c r="L11" i="25"/>
  <c r="M11" i="25" s="1"/>
  <c r="L17" i="25"/>
  <c r="M17" i="25" s="1"/>
  <c r="L59" i="25"/>
  <c r="M59" i="25" s="1"/>
  <c r="L9" i="25"/>
  <c r="M9" i="25" s="1"/>
  <c r="U37" i="25"/>
  <c r="W37" i="25" s="1"/>
  <c r="L66" i="25"/>
  <c r="M66" i="25" s="1"/>
  <c r="U34" i="25"/>
  <c r="W34" i="25" s="1"/>
  <c r="L45" i="25"/>
  <c r="M45" i="25" s="1"/>
  <c r="L27" i="25"/>
  <c r="M27" i="25" s="1"/>
  <c r="L63" i="25"/>
  <c r="M63" i="25" s="1"/>
  <c r="L3" i="25"/>
  <c r="M3" i="25" s="1"/>
  <c r="L15" i="25"/>
  <c r="M15" i="25" s="1"/>
  <c r="L14" i="25"/>
  <c r="M14" i="25" s="1"/>
  <c r="L34" i="25"/>
  <c r="M34" i="25" s="1"/>
  <c r="L67" i="25"/>
  <c r="M67" i="25" s="1"/>
  <c r="L26" i="25"/>
  <c r="M26" i="25" s="1"/>
  <c r="L13" i="25"/>
  <c r="M13" i="25" s="1"/>
  <c r="L54" i="25"/>
  <c r="M54" i="25" s="1"/>
  <c r="L53" i="25"/>
  <c r="M53" i="25" s="1"/>
  <c r="L44" i="25"/>
  <c r="M44" i="25" s="1"/>
  <c r="L8" i="25"/>
  <c r="M8" i="25" s="1"/>
  <c r="L72" i="25"/>
  <c r="M72" i="25" s="1"/>
  <c r="L68" i="25"/>
  <c r="M68" i="25" s="1"/>
  <c r="L7" i="25"/>
  <c r="M7" i="25" s="1"/>
  <c r="L6" i="25"/>
  <c r="M6" i="25" s="1"/>
  <c r="U32" i="25"/>
  <c r="W32" i="25" s="1"/>
  <c r="U25" i="25"/>
  <c r="W25" i="25" s="1"/>
  <c r="L57" i="25"/>
  <c r="M57" i="25" s="1"/>
  <c r="L61" i="25"/>
  <c r="M61" i="25" s="1"/>
  <c r="L46" i="25"/>
  <c r="M46" i="25" s="1"/>
  <c r="L5" i="25"/>
  <c r="M5" i="25" s="1"/>
  <c r="L30" i="25"/>
  <c r="M30" i="25" s="1"/>
  <c r="L18" i="25"/>
  <c r="M18" i="25" s="1"/>
  <c r="U27" i="25"/>
  <c r="W27" i="25" s="1"/>
  <c r="L10" i="25"/>
  <c r="M10" i="25" s="1"/>
  <c r="R11" i="25" l="1"/>
  <c r="G24" i="24" s="1"/>
  <c r="R2" i="25"/>
  <c r="G15" i="24" s="1"/>
  <c r="R4" i="25"/>
  <c r="G17" i="24" s="1"/>
  <c r="R6" i="25"/>
  <c r="G19" i="24" s="1"/>
  <c r="R9" i="25"/>
  <c r="G22" i="24" s="1"/>
  <c r="R17" i="25"/>
  <c r="G30" i="24" s="1"/>
  <c r="R1" i="25"/>
  <c r="G14" i="24" s="1"/>
  <c r="R16" i="25"/>
  <c r="G29" i="24" s="1"/>
  <c r="R8" i="25"/>
  <c r="G21" i="24" s="1"/>
  <c r="R12" i="25"/>
  <c r="G25" i="24" s="1"/>
  <c r="R10" i="25"/>
  <c r="G23" i="24" s="1"/>
  <c r="R14" i="25"/>
  <c r="G27" i="24" s="1"/>
  <c r="R15" i="25"/>
  <c r="G28" i="24" s="1"/>
  <c r="R13" i="25"/>
  <c r="G26" i="24" s="1"/>
  <c r="R5" i="25"/>
  <c r="G18" i="24" s="1"/>
  <c r="R3" i="25"/>
  <c r="G16" i="24" s="1"/>
  <c r="R18" i="25"/>
  <c r="G31" i="24" s="1"/>
  <c r="R7" i="25"/>
  <c r="G20" i="24" s="1"/>
</calcChain>
</file>

<file path=xl/sharedStrings.xml><?xml version="1.0" encoding="utf-8"?>
<sst xmlns="http://schemas.openxmlformats.org/spreadsheetml/2006/main" count="153" uniqueCount="98">
  <si>
    <t>GOLF</t>
  </si>
  <si>
    <t>FEUCHEROLLES</t>
  </si>
  <si>
    <t>SSS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</si>
  <si>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</si>
  <si>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</si>
  <si>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</si>
  <si>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</si>
  <si>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</si>
  <si>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</si>
  <si>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</si>
  <si>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</si>
  <si>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</si>
  <si>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</si>
  <si>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</si>
  <si>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</si>
  <si>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</si>
  <si>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</si>
  <si>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</si>
  <si>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</si>
  <si>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</si>
  <si>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</si>
  <si>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LA CHOUETTE</t>
  </si>
  <si>
    <t>VILLENNES</t>
  </si>
  <si>
    <t xml:space="preserve">APREMONT </t>
  </si>
  <si>
    <t>MONTGRIFFON</t>
  </si>
  <si>
    <t xml:space="preserve">SLOPE </t>
  </si>
  <si>
    <t>COUPS RECUS</t>
  </si>
  <si>
    <t>MAX</t>
  </si>
  <si>
    <t xml:space="preserve">coup en plus </t>
  </si>
  <si>
    <t>TOTAL</t>
  </si>
  <si>
    <t>index</t>
  </si>
  <si>
    <t>LE RARAY</t>
  </si>
  <si>
    <t>CELY</t>
  </si>
  <si>
    <t>LE COUDRAY</t>
  </si>
  <si>
    <t>ST MARC</t>
  </si>
  <si>
    <t>ROCHEFORT</t>
  </si>
  <si>
    <t>VAUGOUARD</t>
  </si>
  <si>
    <t>GADANCOURT</t>
  </si>
  <si>
    <t>FORGES LES BAINS</t>
  </si>
  <si>
    <t>CABOURG HOME</t>
  </si>
  <si>
    <t>BOUCLES DE SEINE</t>
  </si>
  <si>
    <t>BETHEMONT</t>
  </si>
  <si>
    <t>BUSSY GUERMANTES</t>
  </si>
  <si>
    <t>CABOURG PUBLIQUE</t>
  </si>
  <si>
    <t>CRECY VIGNOLY</t>
  </si>
  <si>
    <t>FOURQUEUX</t>
  </si>
  <si>
    <t>ISABELA</t>
  </si>
  <si>
    <t>LA VAUCOULEURS RIVIERE</t>
  </si>
  <si>
    <t>LA VAUCOULEURS VALLONS</t>
  </si>
  <si>
    <t>MARIVAUX</t>
  </si>
  <si>
    <t>MAUDETOUR EN VEXIN</t>
  </si>
  <si>
    <t>MENECY CHAVANNES</t>
  </si>
  <si>
    <t>NATIONAL  AIGLE</t>
  </si>
  <si>
    <t>NATIONAL ALBATROS</t>
  </si>
  <si>
    <t>REBETZ</t>
  </si>
  <si>
    <t>SERAINCOURT</t>
  </si>
  <si>
    <t>ST AUBIN</t>
  </si>
  <si>
    <t>ST QUENTIN BLEU</t>
  </si>
  <si>
    <t>ST QUENTIN ROUGE</t>
  </si>
  <si>
    <t>VAL GRAND BONDOUFLR</t>
  </si>
  <si>
    <t>VILLARCEAUX</t>
  </si>
  <si>
    <t>VILLERAY</t>
  </si>
  <si>
    <t>SLOPEB</t>
  </si>
  <si>
    <t>SLOPEJ</t>
  </si>
  <si>
    <t>SLOPEN</t>
  </si>
  <si>
    <t>SSSN</t>
  </si>
  <si>
    <t>SSSB</t>
  </si>
  <si>
    <t>SSSJ</t>
  </si>
  <si>
    <t>DEPART</t>
  </si>
  <si>
    <t>H</t>
  </si>
  <si>
    <t>F</t>
  </si>
  <si>
    <t>SEXE</t>
  </si>
  <si>
    <t>N</t>
  </si>
  <si>
    <t>B</t>
  </si>
  <si>
    <t>J</t>
  </si>
  <si>
    <t>INDEX JOUEUR</t>
  </si>
  <si>
    <t>PARN</t>
  </si>
  <si>
    <t>PARB</t>
  </si>
  <si>
    <t>PARJ</t>
  </si>
  <si>
    <t>PAR</t>
  </si>
  <si>
    <t xml:space="preserve">trou </t>
  </si>
  <si>
    <t>difficulte</t>
  </si>
  <si>
    <t>trou</t>
  </si>
  <si>
    <t>nb coups recus</t>
  </si>
  <si>
    <t>trous triés par difficultés</t>
  </si>
  <si>
    <t>coups recus</t>
  </si>
  <si>
    <t>valeurs saisies</t>
  </si>
  <si>
    <t>valeurs calculees</t>
  </si>
  <si>
    <t>Solution</t>
  </si>
  <si>
    <t xml:space="preserve">methode de calculs </t>
  </si>
  <si>
    <t xml:space="preserve">nb de coups recus </t>
  </si>
  <si>
    <t>DEPARTS</t>
  </si>
  <si>
    <t>GUERVILLE</t>
  </si>
  <si>
    <t>ISABELLA</t>
  </si>
  <si>
    <t>MENNECY CHAVANNES</t>
  </si>
  <si>
    <t>MONT GRIFFON</t>
  </si>
  <si>
    <t>VAL GRAND BONDOUFLE</t>
  </si>
  <si>
    <t>jj bretin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</si>
</sst>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\-0\ "/>
    <numFmt numFmtId="166" formatCode="0.0000"/>
  </numFmts>
  <fonts count="20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9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43"/>
      </patternFill>
    </fill>
    <fill>
      <patternFill patternType="solid">
        <fgColor indexed="45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4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5" fillId="0" borderId="0" applyNumberFormat="0" applyFill="0" applyBorder="0" applyProtection="0"/>
    <xf numFmtId="0" fontId="7" fillId="8" borderId="0" applyNumberFormat="0" applyBorder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</cellStyleXfs>
  <cellXfs count="110">
    <xf numFmtId="0" fontId="0" fillId="0" borderId="0" xfId="0"/>
    <xf numFmtId="0" fontId="0" fillId="9" borderId="1" xfId="0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2" fillId="0" borderId="1" xfId="0" applyFont="1" applyBorder="1"/>
    <xf numFmtId="0" fontId="0" fillId="11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2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13" borderId="1" xfId="0" applyFill="1" applyBorder="1" applyAlignment="1" applyProtection="1">
      <alignment horizontal="center"/>
    </xf>
    <xf numFmtId="0" fontId="0" fillId="14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/>
    <xf numFmtId="164" fontId="0" fillId="14" borderId="0" xfId="0" applyNumberFormat="1" applyFill="1" applyBorder="1" applyAlignment="1" applyProtection="1">
      <alignment horizontal="center"/>
    </xf>
    <xf numFmtId="164" fontId="0" fillId="0" borderId="0" xfId="0" applyNumberFormat="1"/>
    <xf numFmtId="1" fontId="0" fillId="0" borderId="0" xfId="0" applyNumberFormat="1" applyProtection="1">
      <protection locked="0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4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2" fillId="13" borderId="1" xfId="0" applyFont="1" applyFill="1" applyBorder="1" applyAlignment="1" applyProtection="1">
      <alignment horizontal="center"/>
    </xf>
    <xf numFmtId="0" fontId="17" fillId="13" borderId="1" xfId="0" applyFont="1" applyFill="1" applyBorder="1" applyAlignment="1" applyProtection="1">
      <alignment horizontal="center"/>
    </xf>
    <xf numFmtId="164" fontId="17" fillId="13" borderId="1" xfId="0" applyNumberFormat="1" applyFont="1" applyFill="1" applyBorder="1" applyAlignment="1" applyProtection="1">
      <alignment horizontal="center"/>
    </xf>
    <xf numFmtId="1" fontId="17" fillId="13" borderId="1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15" fillId="13" borderId="1" xfId="0" applyFont="1" applyFill="1" applyBorder="1" applyAlignment="1" applyProtection="1">
      <alignment horizontal="center"/>
    </xf>
    <xf numFmtId="0" fontId="0" fillId="13" borderId="1" xfId="0" applyFill="1" applyBorder="1" applyProtection="1"/>
    <xf numFmtId="0" fontId="0" fillId="14" borderId="0" xfId="0" applyFill="1"/>
    <xf numFmtId="1" fontId="0" fillId="14" borderId="0" xfId="0" applyNumberFormat="1" applyFill="1" applyAlignment="1">
      <alignment horizontal="center"/>
    </xf>
    <xf numFmtId="0" fontId="0" fillId="16" borderId="7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2" fillId="0" borderId="9" xfId="0" applyFont="1" applyBorder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14" borderId="0" xfId="0" applyNumberFormat="1" applyFill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/>
    <xf numFmtId="165" fontId="0" fillId="0" borderId="12" xfId="0" applyNumberFormat="1" applyBorder="1" applyAlignment="1">
      <alignment horizontal="center"/>
    </xf>
    <xf numFmtId="0" fontId="0" fillId="0" borderId="5" xfId="0" applyBorder="1"/>
    <xf numFmtId="165" fontId="0" fillId="0" borderId="9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165" fontId="0" fillId="0" borderId="0" xfId="0" applyNumberFormat="1"/>
    <xf numFmtId="166" fontId="0" fillId="0" borderId="10" xfId="0" applyNumberFormat="1" applyBorder="1"/>
    <xf numFmtId="166" fontId="0" fillId="0" borderId="12" xfId="0" applyNumberFormat="1" applyBorder="1"/>
    <xf numFmtId="166" fontId="0" fillId="0" borderId="9" xfId="0" applyNumberFormat="1" applyBorder="1"/>
    <xf numFmtId="1" fontId="0" fillId="0" borderId="12" xfId="0" applyNumberFormat="1" applyBorder="1"/>
    <xf numFmtId="165" fontId="12" fillId="0" borderId="0" xfId="0" applyNumberFormat="1" applyFont="1" applyAlignment="1">
      <alignment horizontal="center"/>
    </xf>
    <xf numFmtId="1" fontId="0" fillId="0" borderId="3" xfId="0" applyNumberFormat="1" applyBorder="1"/>
    <xf numFmtId="0" fontId="18" fillId="0" borderId="14" xfId="0" applyFont="1" applyBorder="1"/>
    <xf numFmtId="0" fontId="18" fillId="0" borderId="15" xfId="0" applyFont="1" applyBorder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0" fillId="15" borderId="8" xfId="0" applyFill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1" fontId="12" fillId="13" borderId="1" xfId="0" applyNumberFormat="1" applyFont="1" applyFill="1" applyBorder="1" applyAlignment="1" applyProtection="1">
      <alignment horizontal="center"/>
    </xf>
    <xf numFmtId="0" fontId="12" fillId="11" borderId="1" xfId="0" applyFont="1" applyFill="1" applyBorder="1" applyAlignment="1" applyProtection="1">
      <alignment horizontal="center"/>
    </xf>
    <xf numFmtId="0" fontId="18" fillId="12" borderId="1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164" fontId="12" fillId="19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20" borderId="0" xfId="0" applyFill="1" applyBorder="1" applyAlignment="1" applyProtection="1">
      <alignment horizontal="center"/>
    </xf>
    <xf numFmtId="0" fontId="0" fillId="0" borderId="11" xfId="0" applyBorder="1" applyProtection="1"/>
    <xf numFmtId="0" fontId="12" fillId="19" borderId="1" xfId="0" applyNumberFormat="1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17" borderId="8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0" fillId="14" borderId="1" xfId="0" applyNumberForma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19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5" fillId="21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BFBFBF"/>
      <rgbColor rgb="00808080"/>
      <rgbColor rgb="005B9BD5"/>
      <rgbColor rgb="00993366"/>
      <rgbColor rgb="00FFFFCC"/>
      <rgbColor rgb="00E7E6E6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D9D9D9"/>
      <rgbColor rgb="00CCCCCC"/>
      <rgbColor rgb="00FFCCCC"/>
      <rgbColor rgb="00CC99FF"/>
      <rgbColor rgb="00F8CBAD"/>
      <rgbColor rgb="004472C4"/>
      <rgbColor rgb="0033CCCC"/>
      <rgbColor rgb="0099CC00"/>
      <rgbColor rgb="00FFC000"/>
      <rgbColor rgb="00FF9900"/>
      <rgbColor rgb="00ED7D31"/>
      <rgbColor rgb="00595959"/>
      <rgbColor rgb="008B8B8B"/>
      <rgbColor rgb="00003366"/>
      <rgbColor rgb="0070AD47"/>
      <rgbColor rgb="00003300"/>
      <rgbColor rgb="00404040"/>
      <rgbColor rgb="00993300"/>
      <rgbColor rgb="00993366"/>
      <rgbColor rgb="0050505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92D050"/>
  </sheetPr>
  <dimension ref="A1:AC81"/>
  <sheetViews>
    <sheetView workbookViewId="0">
      <selection activeCell="B2" sqref="B2:AC38"/>
    </sheetView>
  </sheetViews>
  <sheetFormatPr baseColWidth="10" defaultRowHeight="15" x14ac:dyDescent="0.25"/>
  <cols>
    <col min="2" max="2" width="34.28515625" customWidth="1"/>
    <col min="3" max="11" width="10.7109375" customWidth="1"/>
    <col min="12" max="29" width="7.7109375" customWidth="1"/>
  </cols>
  <sheetData>
    <row r="1" spans="1:29" ht="29.25" customHeight="1" x14ac:dyDescent="0.25">
      <c r="A1" s="7" t="s">
        <v>30</v>
      </c>
      <c r="B1" s="1"/>
      <c r="C1" s="1" t="s">
        <v>64</v>
      </c>
      <c r="D1" s="1" t="s">
        <v>62</v>
      </c>
      <c r="E1" s="1" t="s">
        <v>63</v>
      </c>
      <c r="F1" s="1" t="s">
        <v>65</v>
      </c>
      <c r="G1" s="1" t="s">
        <v>66</v>
      </c>
      <c r="H1" s="1" t="s">
        <v>67</v>
      </c>
      <c r="I1" s="1" t="s">
        <v>76</v>
      </c>
      <c r="J1" s="1" t="s">
        <v>77</v>
      </c>
      <c r="K1" s="1" t="s">
        <v>78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  <c r="AC1" s="2" t="s">
        <v>20</v>
      </c>
    </row>
    <row r="2" spans="1:29" ht="15" customHeight="1" x14ac:dyDescent="0.25">
      <c r="A2" s="4">
        <v>1</v>
      </c>
      <c r="B2" s="22" t="s">
        <v>23</v>
      </c>
      <c r="C2" s="4">
        <v>134</v>
      </c>
      <c r="D2" s="4">
        <v>134</v>
      </c>
      <c r="E2" s="4">
        <v>124</v>
      </c>
      <c r="F2" s="21">
        <v>73.099999999999994</v>
      </c>
      <c r="G2" s="21">
        <v>73.099999999999994</v>
      </c>
      <c r="H2" s="21">
        <v>70</v>
      </c>
      <c r="I2" s="21">
        <v>72</v>
      </c>
      <c r="J2" s="21">
        <v>72</v>
      </c>
      <c r="K2" s="21">
        <v>72</v>
      </c>
      <c r="L2" s="4">
        <v>7</v>
      </c>
      <c r="M2" s="4">
        <v>1</v>
      </c>
      <c r="N2" s="4">
        <v>17</v>
      </c>
      <c r="O2" s="4">
        <v>15</v>
      </c>
      <c r="P2" s="4">
        <v>3</v>
      </c>
      <c r="Q2" s="4">
        <v>9</v>
      </c>
      <c r="R2" s="4">
        <v>11</v>
      </c>
      <c r="S2" s="4">
        <v>13</v>
      </c>
      <c r="T2" s="4">
        <v>5</v>
      </c>
      <c r="U2" s="4">
        <v>8</v>
      </c>
      <c r="V2" s="4">
        <v>2</v>
      </c>
      <c r="W2" s="4">
        <v>18</v>
      </c>
      <c r="X2" s="4">
        <v>16</v>
      </c>
      <c r="Y2" s="4">
        <v>4</v>
      </c>
      <c r="Z2" s="4">
        <v>10</v>
      </c>
      <c r="AA2" s="4">
        <v>12</v>
      </c>
      <c r="AB2" s="4">
        <v>14</v>
      </c>
      <c r="AC2" s="4">
        <v>6</v>
      </c>
    </row>
    <row r="3" spans="1:29" s="10" customFormat="1" x14ac:dyDescent="0.25">
      <c r="A3" s="8">
        <v>2</v>
      </c>
      <c r="B3" s="22" t="s">
        <v>41</v>
      </c>
      <c r="C3" s="74">
        <v>134</v>
      </c>
      <c r="D3" s="74">
        <v>134</v>
      </c>
      <c r="E3" s="74">
        <v>122</v>
      </c>
      <c r="F3" s="76">
        <v>73.099999999999994</v>
      </c>
      <c r="G3" s="76">
        <v>73.099999999999994</v>
      </c>
      <c r="H3" s="76">
        <v>71.2</v>
      </c>
      <c r="I3" s="76">
        <v>72</v>
      </c>
      <c r="J3" s="76">
        <v>72</v>
      </c>
      <c r="K3" s="76">
        <v>72</v>
      </c>
      <c r="L3" s="4">
        <v>7</v>
      </c>
      <c r="M3" s="4">
        <v>13</v>
      </c>
      <c r="N3" s="4">
        <v>1</v>
      </c>
      <c r="O3" s="4">
        <v>3</v>
      </c>
      <c r="P3" s="4">
        <v>15</v>
      </c>
      <c r="Q3" s="4">
        <v>9</v>
      </c>
      <c r="R3" s="4">
        <v>17</v>
      </c>
      <c r="S3" s="4">
        <v>11</v>
      </c>
      <c r="T3" s="4">
        <v>5</v>
      </c>
      <c r="U3" s="4">
        <v>14</v>
      </c>
      <c r="V3" s="4">
        <v>8</v>
      </c>
      <c r="W3" s="4">
        <v>6</v>
      </c>
      <c r="X3" s="4">
        <v>12</v>
      </c>
      <c r="Y3" s="4">
        <v>16</v>
      </c>
      <c r="Z3" s="4">
        <v>2</v>
      </c>
      <c r="AA3" s="4">
        <v>10</v>
      </c>
      <c r="AB3" s="4">
        <v>18</v>
      </c>
      <c r="AC3" s="4">
        <v>4</v>
      </c>
    </row>
    <row r="4" spans="1:29" s="10" customFormat="1" x14ac:dyDescent="0.25">
      <c r="A4" s="8">
        <v>3</v>
      </c>
      <c r="B4" s="73" t="s">
        <v>40</v>
      </c>
      <c r="C4" s="98">
        <v>129</v>
      </c>
      <c r="D4" s="98">
        <v>129</v>
      </c>
      <c r="E4" s="98">
        <v>124</v>
      </c>
      <c r="F4" s="98">
        <v>69.099999999999994</v>
      </c>
      <c r="G4" s="98">
        <v>69.099999999999994</v>
      </c>
      <c r="H4" s="98">
        <v>67.099999999999994</v>
      </c>
      <c r="I4" s="98">
        <v>70</v>
      </c>
      <c r="J4" s="98">
        <v>70</v>
      </c>
      <c r="K4" s="98">
        <v>70</v>
      </c>
      <c r="L4" s="99">
        <v>6</v>
      </c>
      <c r="M4" s="100">
        <v>7</v>
      </c>
      <c r="N4" s="100">
        <v>3</v>
      </c>
      <c r="O4" s="100">
        <v>15</v>
      </c>
      <c r="P4" s="100">
        <v>1</v>
      </c>
      <c r="Q4" s="100">
        <v>5</v>
      </c>
      <c r="R4" s="100">
        <v>18</v>
      </c>
      <c r="S4" s="100">
        <v>9</v>
      </c>
      <c r="T4" s="100">
        <v>4</v>
      </c>
      <c r="U4" s="100">
        <v>8</v>
      </c>
      <c r="V4" s="100">
        <v>13</v>
      </c>
      <c r="W4" s="100">
        <v>11</v>
      </c>
      <c r="X4" s="100">
        <v>12</v>
      </c>
      <c r="Y4" s="100">
        <v>10</v>
      </c>
      <c r="Z4" s="100">
        <v>16</v>
      </c>
      <c r="AA4" s="100">
        <v>14</v>
      </c>
      <c r="AB4" s="100">
        <v>17</v>
      </c>
      <c r="AC4" s="100">
        <v>2</v>
      </c>
    </row>
    <row r="5" spans="1:29" s="10" customFormat="1" x14ac:dyDescent="0.25">
      <c r="A5" s="8">
        <v>4</v>
      </c>
      <c r="B5" s="22" t="s">
        <v>42</v>
      </c>
      <c r="C5" s="75">
        <v>142</v>
      </c>
      <c r="D5" s="75">
        <v>142</v>
      </c>
      <c r="E5" s="75">
        <v>128</v>
      </c>
      <c r="F5" s="77">
        <v>72.5</v>
      </c>
      <c r="G5" s="77">
        <v>72.5</v>
      </c>
      <c r="H5" s="77">
        <v>70.099999999999994</v>
      </c>
      <c r="I5" s="77">
        <v>72</v>
      </c>
      <c r="J5" s="77">
        <v>72</v>
      </c>
      <c r="K5" s="77">
        <v>72</v>
      </c>
      <c r="L5" s="4">
        <v>2</v>
      </c>
      <c r="M5" s="4">
        <v>4</v>
      </c>
      <c r="N5" s="4">
        <v>10</v>
      </c>
      <c r="O5" s="4">
        <v>6</v>
      </c>
      <c r="P5" s="4">
        <v>8</v>
      </c>
      <c r="Q5" s="4">
        <v>18</v>
      </c>
      <c r="R5" s="4">
        <v>14</v>
      </c>
      <c r="S5" s="4">
        <v>16</v>
      </c>
      <c r="T5" s="4">
        <v>12</v>
      </c>
      <c r="U5" s="4">
        <v>15</v>
      </c>
      <c r="V5" s="4">
        <v>13</v>
      </c>
      <c r="W5" s="4">
        <v>3</v>
      </c>
      <c r="X5" s="4">
        <v>1</v>
      </c>
      <c r="Y5" s="4">
        <v>17</v>
      </c>
      <c r="Z5" s="4">
        <v>11</v>
      </c>
      <c r="AA5" s="4">
        <v>7</v>
      </c>
      <c r="AB5" s="4">
        <v>9</v>
      </c>
      <c r="AC5" s="4">
        <v>5</v>
      </c>
    </row>
    <row r="6" spans="1:29" s="10" customFormat="1" x14ac:dyDescent="0.25">
      <c r="A6" s="8">
        <v>5</v>
      </c>
      <c r="B6" s="22" t="s">
        <v>39</v>
      </c>
      <c r="C6" s="4">
        <v>125</v>
      </c>
      <c r="D6" s="4">
        <v>125</v>
      </c>
      <c r="E6" s="4">
        <v>120</v>
      </c>
      <c r="F6" s="21">
        <v>69.5</v>
      </c>
      <c r="G6" s="21">
        <v>69.5</v>
      </c>
      <c r="H6" s="21">
        <v>68.3</v>
      </c>
      <c r="I6" s="21">
        <v>69</v>
      </c>
      <c r="J6" s="21">
        <v>69</v>
      </c>
      <c r="K6" s="21">
        <v>69</v>
      </c>
      <c r="L6" s="4">
        <v>14</v>
      </c>
      <c r="M6" s="4">
        <v>15</v>
      </c>
      <c r="N6" s="4">
        <v>12</v>
      </c>
      <c r="O6" s="4">
        <v>5</v>
      </c>
      <c r="P6" s="4">
        <v>13</v>
      </c>
      <c r="Q6" s="4">
        <v>3</v>
      </c>
      <c r="R6" s="4">
        <v>2</v>
      </c>
      <c r="S6" s="4">
        <v>9</v>
      </c>
      <c r="T6" s="4">
        <v>1</v>
      </c>
      <c r="U6" s="4">
        <v>6</v>
      </c>
      <c r="V6" s="4">
        <v>4</v>
      </c>
      <c r="W6" s="4">
        <v>7</v>
      </c>
      <c r="X6" s="4">
        <v>18</v>
      </c>
      <c r="Y6" s="4">
        <v>10</v>
      </c>
      <c r="Z6" s="4">
        <v>17</v>
      </c>
      <c r="AA6" s="4">
        <v>11</v>
      </c>
      <c r="AB6" s="4">
        <v>16</v>
      </c>
      <c r="AC6" s="4">
        <v>8</v>
      </c>
    </row>
    <row r="7" spans="1:29" s="10" customFormat="1" x14ac:dyDescent="0.25">
      <c r="A7" s="8">
        <v>6</v>
      </c>
      <c r="B7" s="22" t="s">
        <v>43</v>
      </c>
      <c r="C7" s="4">
        <v>129</v>
      </c>
      <c r="D7" s="4">
        <v>129</v>
      </c>
      <c r="E7" s="4">
        <v>123</v>
      </c>
      <c r="F7" s="21">
        <v>72</v>
      </c>
      <c r="G7" s="21">
        <v>72</v>
      </c>
      <c r="H7" s="21">
        <v>70.3</v>
      </c>
      <c r="I7" s="21">
        <v>36</v>
      </c>
      <c r="J7" s="21">
        <v>36</v>
      </c>
      <c r="K7" s="21">
        <v>36</v>
      </c>
      <c r="L7" s="4">
        <v>13</v>
      </c>
      <c r="M7" s="4">
        <v>3</v>
      </c>
      <c r="N7" s="4">
        <v>1</v>
      </c>
      <c r="O7" s="4">
        <v>7</v>
      </c>
      <c r="P7" s="4">
        <v>15</v>
      </c>
      <c r="Q7" s="4">
        <v>17</v>
      </c>
      <c r="R7" s="4">
        <v>5</v>
      </c>
      <c r="S7" s="4">
        <v>11</v>
      </c>
      <c r="T7" s="4">
        <v>9</v>
      </c>
      <c r="U7" s="4">
        <v>14</v>
      </c>
      <c r="V7" s="4">
        <v>4</v>
      </c>
      <c r="W7" s="4">
        <v>2</v>
      </c>
      <c r="X7" s="4">
        <v>8</v>
      </c>
      <c r="Y7" s="4">
        <v>16</v>
      </c>
      <c r="Z7" s="4">
        <v>18</v>
      </c>
      <c r="AA7" s="4">
        <v>6</v>
      </c>
      <c r="AB7" s="4">
        <v>12</v>
      </c>
      <c r="AC7" s="4">
        <v>10</v>
      </c>
    </row>
    <row r="8" spans="1:29" x14ac:dyDescent="0.25">
      <c r="A8" s="4">
        <v>7</v>
      </c>
      <c r="B8" s="22" t="s">
        <v>32</v>
      </c>
      <c r="C8" s="4">
        <v>139</v>
      </c>
      <c r="D8" s="4">
        <v>139</v>
      </c>
      <c r="E8" s="4">
        <v>129</v>
      </c>
      <c r="F8" s="21">
        <v>72</v>
      </c>
      <c r="G8" s="21">
        <v>71.599999999999994</v>
      </c>
      <c r="H8" s="21">
        <v>69.3</v>
      </c>
      <c r="I8" s="21">
        <v>72</v>
      </c>
      <c r="J8" s="21">
        <v>72</v>
      </c>
      <c r="K8" s="21">
        <v>72</v>
      </c>
      <c r="L8" s="4">
        <v>10</v>
      </c>
      <c r="M8" s="4">
        <v>16</v>
      </c>
      <c r="N8" s="4">
        <v>6</v>
      </c>
      <c r="O8" s="4">
        <v>14</v>
      </c>
      <c r="P8" s="4">
        <v>4</v>
      </c>
      <c r="Q8" s="4">
        <v>2</v>
      </c>
      <c r="R8" s="4">
        <v>18</v>
      </c>
      <c r="S8" s="4">
        <v>8</v>
      </c>
      <c r="T8" s="4">
        <v>12</v>
      </c>
      <c r="U8" s="4">
        <v>5</v>
      </c>
      <c r="V8" s="4">
        <v>13</v>
      </c>
      <c r="W8" s="4">
        <v>3</v>
      </c>
      <c r="X8" s="4">
        <v>7</v>
      </c>
      <c r="Y8" s="4">
        <v>15</v>
      </c>
      <c r="Z8" s="4">
        <v>1</v>
      </c>
      <c r="AA8" s="4">
        <v>11</v>
      </c>
      <c r="AB8" s="4">
        <v>17</v>
      </c>
      <c r="AC8" s="4">
        <v>9</v>
      </c>
    </row>
    <row r="9" spans="1:29" x14ac:dyDescent="0.25">
      <c r="A9" s="4">
        <v>8</v>
      </c>
      <c r="B9" s="22" t="s">
        <v>44</v>
      </c>
      <c r="C9" s="4">
        <v>143</v>
      </c>
      <c r="D9" s="4">
        <v>141</v>
      </c>
      <c r="E9" s="4">
        <v>136</v>
      </c>
      <c r="F9" s="21">
        <v>74.2</v>
      </c>
      <c r="G9" s="21">
        <v>73.099999999999994</v>
      </c>
      <c r="H9" s="21">
        <v>70.599999999999994</v>
      </c>
      <c r="I9" s="21">
        <v>74</v>
      </c>
      <c r="J9" s="21">
        <v>74</v>
      </c>
      <c r="K9" s="21">
        <v>74</v>
      </c>
      <c r="L9" s="4">
        <v>11</v>
      </c>
      <c r="M9" s="4">
        <v>7</v>
      </c>
      <c r="N9" s="4">
        <v>3</v>
      </c>
      <c r="O9" s="4">
        <v>15</v>
      </c>
      <c r="P9" s="4">
        <v>1</v>
      </c>
      <c r="Q9" s="4">
        <v>9</v>
      </c>
      <c r="R9" s="4">
        <v>5</v>
      </c>
      <c r="S9" s="4">
        <v>13</v>
      </c>
      <c r="T9" s="4">
        <v>17</v>
      </c>
      <c r="U9" s="4">
        <v>16</v>
      </c>
      <c r="V9" s="4">
        <v>6</v>
      </c>
      <c r="W9" s="4">
        <v>8</v>
      </c>
      <c r="X9" s="4">
        <v>10</v>
      </c>
      <c r="Y9" s="4">
        <v>18</v>
      </c>
      <c r="Z9" s="4">
        <v>4</v>
      </c>
      <c r="AA9" s="4">
        <v>14</v>
      </c>
      <c r="AB9" s="4">
        <v>12</v>
      </c>
      <c r="AC9" s="4">
        <v>2</v>
      </c>
    </row>
    <row r="10" spans="1:29" x14ac:dyDescent="0.25">
      <c r="A10" s="4">
        <v>9</v>
      </c>
      <c r="B10" s="22" t="s">
        <v>1</v>
      </c>
      <c r="C10" s="4">
        <v>141</v>
      </c>
      <c r="D10" s="4">
        <v>141</v>
      </c>
      <c r="E10" s="4">
        <v>138</v>
      </c>
      <c r="F10" s="21">
        <v>74.599999999999994</v>
      </c>
      <c r="G10" s="21">
        <v>74.599999999999994</v>
      </c>
      <c r="H10" s="21">
        <v>72.099999999999994</v>
      </c>
      <c r="I10" s="21">
        <v>72</v>
      </c>
      <c r="J10" s="21">
        <v>72</v>
      </c>
      <c r="K10" s="21">
        <v>72</v>
      </c>
      <c r="L10" s="4">
        <v>18</v>
      </c>
      <c r="M10" s="4">
        <v>12</v>
      </c>
      <c r="N10" s="4">
        <v>16</v>
      </c>
      <c r="O10" s="4">
        <v>10</v>
      </c>
      <c r="P10" s="4">
        <v>14</v>
      </c>
      <c r="Q10" s="4">
        <v>8</v>
      </c>
      <c r="R10" s="4">
        <v>6</v>
      </c>
      <c r="S10" s="4">
        <v>4</v>
      </c>
      <c r="T10" s="4">
        <v>2</v>
      </c>
      <c r="U10" s="4">
        <v>11</v>
      </c>
      <c r="V10" s="4">
        <v>7</v>
      </c>
      <c r="W10" s="4">
        <v>9</v>
      </c>
      <c r="X10" s="4">
        <v>3</v>
      </c>
      <c r="Y10" s="4">
        <v>1</v>
      </c>
      <c r="Z10" s="4">
        <v>5</v>
      </c>
      <c r="AA10" s="4">
        <v>17</v>
      </c>
      <c r="AB10" s="4">
        <v>15</v>
      </c>
      <c r="AC10" s="4">
        <v>13</v>
      </c>
    </row>
    <row r="11" spans="1:29" x14ac:dyDescent="0.25">
      <c r="A11" s="4">
        <v>10</v>
      </c>
      <c r="B11" s="22" t="s">
        <v>38</v>
      </c>
      <c r="C11" s="4">
        <v>134</v>
      </c>
      <c r="D11" s="4">
        <v>134</v>
      </c>
      <c r="E11" s="4">
        <v>130</v>
      </c>
      <c r="F11" s="21">
        <v>72.099999999999994</v>
      </c>
      <c r="G11" s="21">
        <v>72.099999999999994</v>
      </c>
      <c r="H11" s="21">
        <v>70.099999999999994</v>
      </c>
      <c r="I11" s="21">
        <v>72</v>
      </c>
      <c r="J11" s="21">
        <v>72</v>
      </c>
      <c r="K11" s="21">
        <v>72</v>
      </c>
      <c r="L11" s="4">
        <v>1</v>
      </c>
      <c r="M11" s="4">
        <v>17</v>
      </c>
      <c r="N11" s="4">
        <v>5</v>
      </c>
      <c r="O11" s="4">
        <v>7</v>
      </c>
      <c r="P11" s="4">
        <v>9</v>
      </c>
      <c r="Q11" s="4">
        <v>3</v>
      </c>
      <c r="R11" s="4">
        <v>11</v>
      </c>
      <c r="S11" s="4">
        <v>15</v>
      </c>
      <c r="T11" s="4">
        <v>13</v>
      </c>
      <c r="U11" s="4">
        <v>4</v>
      </c>
      <c r="V11" s="4">
        <v>2</v>
      </c>
      <c r="W11" s="4">
        <v>18</v>
      </c>
      <c r="X11" s="4">
        <v>12</v>
      </c>
      <c r="Y11" s="4">
        <v>6</v>
      </c>
      <c r="Z11" s="4">
        <v>16</v>
      </c>
      <c r="AA11" s="4">
        <v>14</v>
      </c>
      <c r="AB11" s="4">
        <v>8</v>
      </c>
      <c r="AC11" s="4">
        <v>10</v>
      </c>
    </row>
    <row r="12" spans="1:29" x14ac:dyDescent="0.25">
      <c r="A12" s="4">
        <v>11</v>
      </c>
      <c r="B12" s="22" t="s">
        <v>45</v>
      </c>
      <c r="C12" s="4">
        <v>139</v>
      </c>
      <c r="D12" s="4">
        <v>139</v>
      </c>
      <c r="E12" s="4">
        <v>130</v>
      </c>
      <c r="F12" s="21">
        <v>71.3</v>
      </c>
      <c r="G12" s="21">
        <v>71.3</v>
      </c>
      <c r="H12" s="21">
        <v>69.900000000000006</v>
      </c>
      <c r="I12" s="21">
        <v>72</v>
      </c>
      <c r="J12" s="21">
        <v>72</v>
      </c>
      <c r="K12" s="21">
        <v>72</v>
      </c>
      <c r="L12" s="4">
        <v>5</v>
      </c>
      <c r="M12" s="4">
        <v>13</v>
      </c>
      <c r="N12" s="4">
        <v>15</v>
      </c>
      <c r="O12" s="4">
        <v>11</v>
      </c>
      <c r="P12" s="4">
        <v>1</v>
      </c>
      <c r="Q12" s="4">
        <v>9</v>
      </c>
      <c r="R12" s="4">
        <v>17</v>
      </c>
      <c r="S12" s="4">
        <v>3</v>
      </c>
      <c r="T12" s="4">
        <v>7</v>
      </c>
      <c r="U12" s="4">
        <v>14</v>
      </c>
      <c r="V12" s="4">
        <v>2</v>
      </c>
      <c r="W12" s="4">
        <v>16</v>
      </c>
      <c r="X12" s="4">
        <v>8</v>
      </c>
      <c r="Y12" s="4">
        <v>10</v>
      </c>
      <c r="Z12" s="4">
        <v>18</v>
      </c>
      <c r="AA12" s="4">
        <v>6</v>
      </c>
      <c r="AB12" s="4">
        <v>12</v>
      </c>
      <c r="AC12" s="4">
        <v>4</v>
      </c>
    </row>
    <row r="13" spans="1:29" x14ac:dyDescent="0.25">
      <c r="A13" s="4">
        <v>12</v>
      </c>
      <c r="B13" s="22" t="s">
        <v>37</v>
      </c>
      <c r="C13" s="4">
        <v>127</v>
      </c>
      <c r="D13" s="4">
        <v>127</v>
      </c>
      <c r="E13" s="4">
        <v>125</v>
      </c>
      <c r="F13" s="21">
        <v>72.8</v>
      </c>
      <c r="G13" s="21">
        <v>72.8</v>
      </c>
      <c r="H13" s="21">
        <v>71.7</v>
      </c>
      <c r="I13" s="21">
        <v>72</v>
      </c>
      <c r="J13" s="21">
        <v>72</v>
      </c>
      <c r="K13" s="21">
        <v>72</v>
      </c>
      <c r="L13" s="4">
        <v>3</v>
      </c>
      <c r="M13" s="4">
        <v>11</v>
      </c>
      <c r="N13" s="4">
        <v>13</v>
      </c>
      <c r="O13" s="4">
        <v>9</v>
      </c>
      <c r="P13" s="4">
        <v>8</v>
      </c>
      <c r="Q13" s="4">
        <v>1</v>
      </c>
      <c r="R13" s="4">
        <v>5</v>
      </c>
      <c r="S13" s="4">
        <v>18</v>
      </c>
      <c r="T13" s="4">
        <v>10</v>
      </c>
      <c r="U13" s="4">
        <v>14</v>
      </c>
      <c r="V13" s="4">
        <v>16</v>
      </c>
      <c r="W13" s="4">
        <v>6</v>
      </c>
      <c r="X13" s="4">
        <v>7</v>
      </c>
      <c r="Y13" s="4">
        <v>2</v>
      </c>
      <c r="Z13" s="4">
        <v>12</v>
      </c>
      <c r="AA13" s="4">
        <v>15</v>
      </c>
      <c r="AB13" s="4">
        <v>17</v>
      </c>
      <c r="AC13" s="4">
        <v>4</v>
      </c>
    </row>
    <row r="14" spans="1:29" x14ac:dyDescent="0.25">
      <c r="A14" s="4">
        <v>13</v>
      </c>
      <c r="B14" s="22" t="s">
        <v>92</v>
      </c>
      <c r="C14" s="4">
        <v>120</v>
      </c>
      <c r="D14" s="4">
        <v>120</v>
      </c>
      <c r="E14" s="4">
        <v>115</v>
      </c>
      <c r="F14" s="21">
        <v>70.3</v>
      </c>
      <c r="G14" s="21">
        <v>70.3</v>
      </c>
      <c r="H14" s="21">
        <v>68.3</v>
      </c>
      <c r="I14" s="21">
        <v>72</v>
      </c>
      <c r="J14" s="21">
        <v>72</v>
      </c>
      <c r="K14" s="21">
        <v>72</v>
      </c>
      <c r="L14" s="4">
        <v>7</v>
      </c>
      <c r="M14" s="4">
        <v>3</v>
      </c>
      <c r="N14" s="4">
        <v>17</v>
      </c>
      <c r="O14" s="4">
        <v>15</v>
      </c>
      <c r="P14" s="4">
        <v>13</v>
      </c>
      <c r="Q14" s="4">
        <v>5</v>
      </c>
      <c r="R14" s="4">
        <v>1</v>
      </c>
      <c r="S14" s="4">
        <v>11</v>
      </c>
      <c r="T14" s="4">
        <v>9</v>
      </c>
      <c r="U14" s="4">
        <v>8</v>
      </c>
      <c r="V14" s="4">
        <v>4</v>
      </c>
      <c r="W14" s="4">
        <v>18</v>
      </c>
      <c r="X14" s="4">
        <v>16</v>
      </c>
      <c r="Y14" s="4">
        <v>14</v>
      </c>
      <c r="Z14" s="4">
        <v>6</v>
      </c>
      <c r="AA14" s="4">
        <v>2</v>
      </c>
      <c r="AB14" s="4">
        <v>12</v>
      </c>
      <c r="AC14" s="4">
        <v>10</v>
      </c>
    </row>
    <row r="15" spans="1:29" x14ac:dyDescent="0.25">
      <c r="A15" s="4">
        <v>14</v>
      </c>
      <c r="B15" s="22" t="s">
        <v>93</v>
      </c>
      <c r="C15" s="4">
        <v>132</v>
      </c>
      <c r="D15" s="4">
        <v>132</v>
      </c>
      <c r="E15" s="4">
        <v>125</v>
      </c>
      <c r="F15" s="21">
        <v>71.099999999999994</v>
      </c>
      <c r="G15" s="21">
        <v>71.099999999999994</v>
      </c>
      <c r="H15" s="21">
        <v>0.36899999999999999</v>
      </c>
      <c r="I15" s="21">
        <v>71</v>
      </c>
      <c r="J15" s="21">
        <v>71</v>
      </c>
      <c r="K15" s="21">
        <v>71</v>
      </c>
      <c r="L15" s="4">
        <v>6</v>
      </c>
      <c r="M15" s="4">
        <v>12</v>
      </c>
      <c r="N15" s="4">
        <v>2</v>
      </c>
      <c r="O15" s="4">
        <v>18</v>
      </c>
      <c r="P15" s="4">
        <v>10</v>
      </c>
      <c r="Q15" s="4">
        <v>14</v>
      </c>
      <c r="R15" s="4">
        <v>4</v>
      </c>
      <c r="S15" s="4">
        <v>16</v>
      </c>
      <c r="T15" s="4">
        <v>8</v>
      </c>
      <c r="U15" s="4">
        <v>11</v>
      </c>
      <c r="V15" s="4">
        <v>1</v>
      </c>
      <c r="W15" s="4">
        <v>5</v>
      </c>
      <c r="X15" s="4">
        <v>3</v>
      </c>
      <c r="Y15" s="4">
        <v>9</v>
      </c>
      <c r="Z15" s="4">
        <v>15</v>
      </c>
      <c r="AA15" s="4">
        <v>17</v>
      </c>
      <c r="AB15" s="4">
        <v>13</v>
      </c>
      <c r="AC15" s="4">
        <v>7</v>
      </c>
    </row>
    <row r="16" spans="1:29" x14ac:dyDescent="0.25">
      <c r="A16" s="4">
        <v>15</v>
      </c>
      <c r="B16" s="22" t="s">
        <v>21</v>
      </c>
      <c r="C16" s="4">
        <v>143</v>
      </c>
      <c r="D16" s="4">
        <v>143</v>
      </c>
      <c r="E16" s="4">
        <v>135</v>
      </c>
      <c r="F16" s="21">
        <v>74.3</v>
      </c>
      <c r="G16" s="21">
        <v>74.3</v>
      </c>
      <c r="H16" s="21">
        <v>71.8</v>
      </c>
      <c r="I16" s="21">
        <v>72</v>
      </c>
      <c r="J16" s="21">
        <v>72</v>
      </c>
      <c r="K16" s="21">
        <v>72</v>
      </c>
      <c r="L16" s="4">
        <v>5</v>
      </c>
      <c r="M16" s="4">
        <v>11</v>
      </c>
      <c r="N16" s="4">
        <v>9</v>
      </c>
      <c r="O16" s="4">
        <v>13</v>
      </c>
      <c r="P16" s="4">
        <v>17</v>
      </c>
      <c r="Q16" s="4">
        <v>1</v>
      </c>
      <c r="R16" s="4">
        <v>7</v>
      </c>
      <c r="S16" s="4">
        <v>15</v>
      </c>
      <c r="T16" s="4">
        <v>3</v>
      </c>
      <c r="U16" s="4">
        <v>4</v>
      </c>
      <c r="V16" s="4">
        <v>10</v>
      </c>
      <c r="W16" s="4">
        <v>18</v>
      </c>
      <c r="X16" s="4">
        <v>12</v>
      </c>
      <c r="Y16" s="4">
        <v>16</v>
      </c>
      <c r="Z16" s="4">
        <v>14</v>
      </c>
      <c r="AA16" s="4">
        <v>2</v>
      </c>
      <c r="AB16" s="4">
        <v>6</v>
      </c>
      <c r="AC16" s="4">
        <v>8</v>
      </c>
    </row>
    <row r="17" spans="1:29" x14ac:dyDescent="0.25">
      <c r="A17" s="4">
        <v>16</v>
      </c>
      <c r="B17" s="22" t="s">
        <v>47</v>
      </c>
      <c r="C17" s="4">
        <v>144</v>
      </c>
      <c r="D17" s="4">
        <v>144</v>
      </c>
      <c r="E17" s="4">
        <v>132</v>
      </c>
      <c r="F17" s="21">
        <v>72.900000000000006</v>
      </c>
      <c r="G17" s="21">
        <v>72.900000000000006</v>
      </c>
      <c r="H17" s="21">
        <v>70.400000000000006</v>
      </c>
      <c r="I17" s="21">
        <v>73</v>
      </c>
      <c r="J17" s="21">
        <v>73</v>
      </c>
      <c r="K17" s="21">
        <v>73</v>
      </c>
      <c r="L17" s="4">
        <v>15</v>
      </c>
      <c r="M17" s="4">
        <v>7</v>
      </c>
      <c r="N17" s="4">
        <v>11</v>
      </c>
      <c r="O17" s="4">
        <v>5</v>
      </c>
      <c r="P17" s="4">
        <v>9</v>
      </c>
      <c r="Q17" s="4">
        <v>3</v>
      </c>
      <c r="R17" s="4">
        <v>17</v>
      </c>
      <c r="S17" s="4">
        <v>13</v>
      </c>
      <c r="T17" s="4">
        <v>1</v>
      </c>
      <c r="U17" s="4">
        <v>16</v>
      </c>
      <c r="V17" s="4">
        <v>18</v>
      </c>
      <c r="W17" s="4">
        <v>4</v>
      </c>
      <c r="X17" s="4">
        <v>8</v>
      </c>
      <c r="Y17" s="4">
        <v>12</v>
      </c>
      <c r="Z17" s="4">
        <v>2</v>
      </c>
      <c r="AA17" s="4">
        <v>6</v>
      </c>
      <c r="AB17" s="4">
        <v>14</v>
      </c>
      <c r="AC17" s="4">
        <v>10</v>
      </c>
    </row>
    <row r="18" spans="1:29" x14ac:dyDescent="0.25">
      <c r="A18" s="4">
        <v>17</v>
      </c>
      <c r="B18" s="22" t="s">
        <v>48</v>
      </c>
      <c r="C18" s="4">
        <v>136</v>
      </c>
      <c r="D18" s="4">
        <v>136</v>
      </c>
      <c r="E18" s="4">
        <v>126</v>
      </c>
      <c r="F18" s="21">
        <v>70.5</v>
      </c>
      <c r="G18" s="21">
        <v>70.5</v>
      </c>
      <c r="H18" s="21">
        <v>67.8</v>
      </c>
      <c r="I18" s="21">
        <v>70</v>
      </c>
      <c r="J18" s="21">
        <v>70</v>
      </c>
      <c r="K18" s="21">
        <v>70</v>
      </c>
      <c r="L18" s="4">
        <v>15</v>
      </c>
      <c r="M18" s="4">
        <v>13</v>
      </c>
      <c r="N18" s="4">
        <v>5</v>
      </c>
      <c r="O18" s="4">
        <v>11</v>
      </c>
      <c r="P18" s="4">
        <v>1</v>
      </c>
      <c r="Q18" s="4">
        <v>9</v>
      </c>
      <c r="R18" s="4">
        <v>17</v>
      </c>
      <c r="S18" s="4">
        <v>7</v>
      </c>
      <c r="T18" s="4">
        <v>3</v>
      </c>
      <c r="U18" s="4">
        <v>12</v>
      </c>
      <c r="V18" s="4">
        <v>18</v>
      </c>
      <c r="W18" s="4">
        <v>14</v>
      </c>
      <c r="X18" s="4">
        <v>10</v>
      </c>
      <c r="Y18" s="4">
        <v>6</v>
      </c>
      <c r="Z18" s="101">
        <v>16</v>
      </c>
      <c r="AA18" s="4">
        <v>4</v>
      </c>
      <c r="AB18" s="4">
        <v>2</v>
      </c>
      <c r="AC18" s="4">
        <v>8</v>
      </c>
    </row>
    <row r="19" spans="1:29" x14ac:dyDescent="0.25">
      <c r="A19" s="4">
        <v>18</v>
      </c>
      <c r="B19" s="22" t="s">
        <v>33</v>
      </c>
      <c r="C19" s="4">
        <v>127</v>
      </c>
      <c r="D19" s="4">
        <v>127</v>
      </c>
      <c r="E19" s="4">
        <v>122</v>
      </c>
      <c r="F19" s="21">
        <v>70.2</v>
      </c>
      <c r="G19" s="21">
        <v>70.2</v>
      </c>
      <c r="H19" s="21">
        <v>68.7</v>
      </c>
      <c r="I19" s="21">
        <v>71</v>
      </c>
      <c r="J19" s="21">
        <v>71</v>
      </c>
      <c r="K19" s="21">
        <v>71</v>
      </c>
      <c r="L19" s="4">
        <v>7</v>
      </c>
      <c r="M19" s="4">
        <v>5</v>
      </c>
      <c r="N19" s="4">
        <v>15</v>
      </c>
      <c r="O19" s="4">
        <v>11</v>
      </c>
      <c r="P19" s="4">
        <v>1</v>
      </c>
      <c r="Q19" s="4">
        <v>17</v>
      </c>
      <c r="R19" s="4">
        <v>9</v>
      </c>
      <c r="S19" s="4">
        <v>3</v>
      </c>
      <c r="T19" s="4">
        <v>13</v>
      </c>
      <c r="U19" s="4">
        <v>18</v>
      </c>
      <c r="V19" s="4">
        <v>14</v>
      </c>
      <c r="W19" s="4">
        <v>8</v>
      </c>
      <c r="X19" s="4">
        <v>12</v>
      </c>
      <c r="Y19" s="4">
        <v>10</v>
      </c>
      <c r="Z19" s="4">
        <v>6</v>
      </c>
      <c r="AA19" s="4">
        <v>2</v>
      </c>
      <c r="AB19" s="4">
        <v>16</v>
      </c>
      <c r="AC19" s="4">
        <v>4</v>
      </c>
    </row>
    <row r="20" spans="1:29" x14ac:dyDescent="0.25">
      <c r="A20" s="4">
        <v>19</v>
      </c>
      <c r="B20" s="22" t="s">
        <v>31</v>
      </c>
      <c r="C20" s="4">
        <v>135</v>
      </c>
      <c r="D20" s="4">
        <v>133</v>
      </c>
      <c r="E20" s="4">
        <v>129</v>
      </c>
      <c r="F20" s="21">
        <v>74.2</v>
      </c>
      <c r="G20" s="21">
        <v>72.099999999999994</v>
      </c>
      <c r="H20" s="21">
        <v>70.2</v>
      </c>
      <c r="I20" s="21">
        <v>72</v>
      </c>
      <c r="J20" s="21">
        <v>72</v>
      </c>
      <c r="K20" s="21">
        <v>72</v>
      </c>
      <c r="L20" s="5">
        <v>8</v>
      </c>
      <c r="M20" s="5">
        <v>4</v>
      </c>
      <c r="N20" s="5">
        <v>18</v>
      </c>
      <c r="O20" s="5">
        <v>6</v>
      </c>
      <c r="P20" s="5">
        <v>14</v>
      </c>
      <c r="Q20" s="5">
        <v>12</v>
      </c>
      <c r="R20" s="5">
        <v>2</v>
      </c>
      <c r="S20" s="5">
        <v>10</v>
      </c>
      <c r="T20" s="5">
        <v>7</v>
      </c>
      <c r="U20" s="5">
        <v>1</v>
      </c>
      <c r="V20" s="5">
        <v>3</v>
      </c>
      <c r="W20" s="5">
        <v>17</v>
      </c>
      <c r="X20" s="5">
        <v>5</v>
      </c>
      <c r="Y20" s="5">
        <v>9</v>
      </c>
      <c r="Z20" s="5">
        <v>13</v>
      </c>
      <c r="AA20" s="5">
        <v>16</v>
      </c>
      <c r="AB20" s="5">
        <v>11</v>
      </c>
      <c r="AC20" s="5">
        <v>15</v>
      </c>
    </row>
    <row r="21" spans="1:29" x14ac:dyDescent="0.25">
      <c r="A21" s="4">
        <v>20</v>
      </c>
      <c r="B21" s="22" t="s">
        <v>49</v>
      </c>
      <c r="C21" s="4">
        <v>138</v>
      </c>
      <c r="D21" s="4">
        <v>138</v>
      </c>
      <c r="E21" s="4">
        <v>128</v>
      </c>
      <c r="F21" s="21">
        <v>72.8</v>
      </c>
      <c r="G21" s="21">
        <v>72.8</v>
      </c>
      <c r="H21" s="21">
        <v>71</v>
      </c>
      <c r="I21" s="21">
        <v>72</v>
      </c>
      <c r="J21" s="21">
        <v>72</v>
      </c>
      <c r="K21" s="21">
        <v>72</v>
      </c>
      <c r="L21" s="4">
        <v>3</v>
      </c>
      <c r="M21" s="4">
        <v>7</v>
      </c>
      <c r="N21" s="4">
        <v>13</v>
      </c>
      <c r="O21" s="4">
        <v>5</v>
      </c>
      <c r="P21" s="4">
        <v>1</v>
      </c>
      <c r="Q21" s="4">
        <v>11</v>
      </c>
      <c r="R21" s="4">
        <v>17</v>
      </c>
      <c r="S21" s="4">
        <v>15</v>
      </c>
      <c r="T21" s="4">
        <v>9</v>
      </c>
      <c r="U21" s="4">
        <v>2</v>
      </c>
      <c r="V21" s="4">
        <v>16</v>
      </c>
      <c r="W21" s="4">
        <v>8</v>
      </c>
      <c r="X21" s="4">
        <v>6</v>
      </c>
      <c r="Y21" s="4">
        <v>12</v>
      </c>
      <c r="Z21" s="4">
        <v>10</v>
      </c>
      <c r="AA21" s="4">
        <v>18</v>
      </c>
      <c r="AB21" s="4">
        <v>14</v>
      </c>
      <c r="AC21" s="4">
        <v>4</v>
      </c>
    </row>
    <row r="22" spans="1:29" x14ac:dyDescent="0.25">
      <c r="A22" s="4">
        <v>21</v>
      </c>
      <c r="B22" s="22" t="s">
        <v>50</v>
      </c>
      <c r="C22" s="4">
        <v>126</v>
      </c>
      <c r="D22" s="4">
        <v>118</v>
      </c>
      <c r="E22" s="4">
        <v>0</v>
      </c>
      <c r="F22" s="21">
        <v>70.599999999999994</v>
      </c>
      <c r="G22" s="21">
        <v>67.8</v>
      </c>
      <c r="H22" s="21">
        <v>0</v>
      </c>
      <c r="I22" s="21">
        <v>72</v>
      </c>
      <c r="J22" s="21">
        <v>72</v>
      </c>
      <c r="K22" s="21">
        <v>72</v>
      </c>
      <c r="L22" s="4">
        <v>2</v>
      </c>
      <c r="M22" s="4">
        <v>8</v>
      </c>
      <c r="N22" s="4">
        <v>12</v>
      </c>
      <c r="O22" s="4">
        <v>6</v>
      </c>
      <c r="P22" s="4">
        <v>10</v>
      </c>
      <c r="Q22" s="4">
        <v>18</v>
      </c>
      <c r="R22" s="4">
        <v>4</v>
      </c>
      <c r="S22" s="4">
        <v>16</v>
      </c>
      <c r="T22" s="4">
        <v>14</v>
      </c>
      <c r="U22" s="4">
        <v>9</v>
      </c>
      <c r="V22" s="4">
        <v>13</v>
      </c>
      <c r="W22" s="4">
        <v>1</v>
      </c>
      <c r="X22" s="4">
        <v>7</v>
      </c>
      <c r="Y22" s="4">
        <v>11</v>
      </c>
      <c r="Z22" s="4">
        <v>3</v>
      </c>
      <c r="AA22" s="4">
        <v>5</v>
      </c>
      <c r="AB22" s="4">
        <v>17</v>
      </c>
      <c r="AC22" s="4">
        <v>15</v>
      </c>
    </row>
    <row r="23" spans="1:29" x14ac:dyDescent="0.25">
      <c r="A23" s="4">
        <v>22</v>
      </c>
      <c r="B23" s="22" t="s">
        <v>94</v>
      </c>
      <c r="C23" s="4">
        <v>132</v>
      </c>
      <c r="D23" s="4">
        <v>132</v>
      </c>
      <c r="E23" s="4">
        <v>131</v>
      </c>
      <c r="F23" s="21">
        <v>73.099999999999994</v>
      </c>
      <c r="G23" s="21">
        <v>73.099999999999994</v>
      </c>
      <c r="H23" s="21">
        <v>69.900000000000006</v>
      </c>
      <c r="I23" s="21">
        <v>71</v>
      </c>
      <c r="J23" s="21">
        <v>71</v>
      </c>
      <c r="K23" s="21">
        <v>71</v>
      </c>
      <c r="L23" s="4">
        <v>6</v>
      </c>
      <c r="M23" s="4">
        <v>2</v>
      </c>
      <c r="N23" s="4">
        <v>3</v>
      </c>
      <c r="O23" s="4">
        <v>16</v>
      </c>
      <c r="P23" s="4">
        <v>17</v>
      </c>
      <c r="Q23" s="101">
        <v>13</v>
      </c>
      <c r="R23" s="4">
        <v>8</v>
      </c>
      <c r="S23" s="4">
        <v>18</v>
      </c>
      <c r="T23" s="4">
        <v>9</v>
      </c>
      <c r="U23" s="4">
        <v>15</v>
      </c>
      <c r="V23" s="4">
        <v>14</v>
      </c>
      <c r="W23" s="4">
        <v>5</v>
      </c>
      <c r="X23" s="4">
        <v>11</v>
      </c>
      <c r="Y23" s="4">
        <v>4</v>
      </c>
      <c r="Z23" s="4">
        <v>10</v>
      </c>
      <c r="AA23" s="4">
        <v>12</v>
      </c>
      <c r="AB23" s="4">
        <v>7</v>
      </c>
      <c r="AC23" s="4">
        <v>1</v>
      </c>
    </row>
    <row r="24" spans="1:29" x14ac:dyDescent="0.25">
      <c r="A24" s="4">
        <v>23</v>
      </c>
      <c r="B24" s="22" t="s">
        <v>95</v>
      </c>
      <c r="C24" s="4">
        <v>137</v>
      </c>
      <c r="D24" s="4">
        <v>137</v>
      </c>
      <c r="E24" s="4">
        <v>130</v>
      </c>
      <c r="F24" s="21">
        <v>71.900000000000006</v>
      </c>
      <c r="G24" s="21">
        <v>71.900000000000006</v>
      </c>
      <c r="H24" s="21">
        <v>70.5</v>
      </c>
      <c r="I24" s="21">
        <v>72</v>
      </c>
      <c r="J24" s="21">
        <v>72</v>
      </c>
      <c r="K24" s="21">
        <v>72</v>
      </c>
      <c r="L24" s="4">
        <v>17</v>
      </c>
      <c r="M24" s="4">
        <v>8</v>
      </c>
      <c r="N24" s="4">
        <v>4</v>
      </c>
      <c r="O24" s="4">
        <v>6</v>
      </c>
      <c r="P24" s="4">
        <v>13</v>
      </c>
      <c r="Q24" s="4">
        <v>15</v>
      </c>
      <c r="R24" s="4">
        <v>10</v>
      </c>
      <c r="S24" s="4">
        <v>7</v>
      </c>
      <c r="T24" s="4">
        <v>2</v>
      </c>
      <c r="U24" s="4">
        <v>14</v>
      </c>
      <c r="V24" s="4">
        <v>18</v>
      </c>
      <c r="W24" s="4">
        <v>9</v>
      </c>
      <c r="X24" s="4">
        <v>16</v>
      </c>
      <c r="Y24" s="4">
        <v>12</v>
      </c>
      <c r="Z24" s="4">
        <v>3</v>
      </c>
      <c r="AA24" s="4">
        <v>5</v>
      </c>
      <c r="AB24" s="4">
        <v>1</v>
      </c>
      <c r="AC24" s="4">
        <v>11</v>
      </c>
    </row>
    <row r="25" spans="1:29" x14ac:dyDescent="0.25">
      <c r="A25" s="4">
        <v>24</v>
      </c>
      <c r="B25" s="22" t="s">
        <v>52</v>
      </c>
      <c r="C25" s="4">
        <v>125</v>
      </c>
      <c r="D25" s="4">
        <v>125</v>
      </c>
      <c r="E25" s="4">
        <v>123</v>
      </c>
      <c r="F25" s="21">
        <v>70.900000000000006</v>
      </c>
      <c r="G25" s="21">
        <v>70.900000000000006</v>
      </c>
      <c r="H25" s="21">
        <v>69.8</v>
      </c>
      <c r="I25" s="21">
        <v>71</v>
      </c>
      <c r="J25" s="21">
        <v>71</v>
      </c>
      <c r="K25" s="21">
        <v>71</v>
      </c>
      <c r="L25" s="4">
        <v>12</v>
      </c>
      <c r="M25" s="4">
        <v>2</v>
      </c>
      <c r="N25" s="4">
        <v>18</v>
      </c>
      <c r="O25" s="4">
        <v>16</v>
      </c>
      <c r="P25" s="4">
        <v>6</v>
      </c>
      <c r="Q25" s="4">
        <v>14</v>
      </c>
      <c r="R25" s="4">
        <v>10</v>
      </c>
      <c r="S25" s="4">
        <v>8</v>
      </c>
      <c r="T25" s="4">
        <v>4</v>
      </c>
      <c r="U25" s="4">
        <v>9</v>
      </c>
      <c r="V25" s="4">
        <v>11</v>
      </c>
      <c r="W25" s="4">
        <v>1</v>
      </c>
      <c r="X25" s="4">
        <v>17</v>
      </c>
      <c r="Y25" s="4">
        <v>5</v>
      </c>
      <c r="Z25" s="4">
        <v>15</v>
      </c>
      <c r="AA25" s="4">
        <v>3</v>
      </c>
      <c r="AB25" s="4">
        <v>13</v>
      </c>
      <c r="AC25" s="4">
        <v>7</v>
      </c>
    </row>
    <row r="26" spans="1:29" x14ac:dyDescent="0.25">
      <c r="A26" s="4">
        <v>25</v>
      </c>
      <c r="B26" s="22" t="s">
        <v>53</v>
      </c>
      <c r="C26" s="4">
        <v>155</v>
      </c>
      <c r="D26" s="4">
        <v>155</v>
      </c>
      <c r="E26" s="4">
        <v>141</v>
      </c>
      <c r="F26" s="21">
        <v>76.900000000000006</v>
      </c>
      <c r="G26" s="21">
        <v>73.8</v>
      </c>
      <c r="H26" s="21">
        <v>71.599999999999994</v>
      </c>
      <c r="I26" s="21">
        <v>71</v>
      </c>
      <c r="J26" s="21">
        <v>71</v>
      </c>
      <c r="K26" s="21">
        <v>72</v>
      </c>
      <c r="L26" s="4">
        <v>4</v>
      </c>
      <c r="M26" s="4">
        <v>6</v>
      </c>
      <c r="N26" s="4">
        <v>13</v>
      </c>
      <c r="O26" s="4">
        <v>8</v>
      </c>
      <c r="P26" s="4">
        <v>16</v>
      </c>
      <c r="Q26" s="4">
        <v>18</v>
      </c>
      <c r="R26" s="4">
        <v>2</v>
      </c>
      <c r="S26" s="4">
        <v>14</v>
      </c>
      <c r="T26" s="4">
        <v>10</v>
      </c>
      <c r="U26" s="4">
        <v>9</v>
      </c>
      <c r="V26" s="4">
        <v>17</v>
      </c>
      <c r="W26" s="4">
        <v>7</v>
      </c>
      <c r="X26" s="4">
        <v>3</v>
      </c>
      <c r="Y26" s="4">
        <v>11</v>
      </c>
      <c r="Z26" s="4">
        <v>1</v>
      </c>
      <c r="AA26" s="4">
        <v>13</v>
      </c>
      <c r="AB26" s="4">
        <v>5</v>
      </c>
      <c r="AC26" s="4">
        <v>15</v>
      </c>
    </row>
    <row r="27" spans="1:29" x14ac:dyDescent="0.25">
      <c r="A27" s="4">
        <v>26</v>
      </c>
      <c r="B27" s="22" t="s">
        <v>54</v>
      </c>
      <c r="C27" s="4">
        <v>133</v>
      </c>
      <c r="D27" s="4">
        <v>132</v>
      </c>
      <c r="E27" s="4">
        <v>127</v>
      </c>
      <c r="F27" s="21">
        <v>73.400000000000006</v>
      </c>
      <c r="G27" s="21">
        <v>71.5</v>
      </c>
      <c r="H27" s="21">
        <v>70.599999999999994</v>
      </c>
      <c r="I27" s="21">
        <v>73</v>
      </c>
      <c r="J27" s="21">
        <v>73</v>
      </c>
      <c r="K27" s="21">
        <v>73</v>
      </c>
      <c r="L27" s="4">
        <v>9</v>
      </c>
      <c r="M27" s="4">
        <v>13</v>
      </c>
      <c r="N27" s="4">
        <v>1</v>
      </c>
      <c r="O27" s="4">
        <v>15</v>
      </c>
      <c r="P27" s="4">
        <v>3</v>
      </c>
      <c r="Q27" s="4">
        <v>17</v>
      </c>
      <c r="R27" s="4">
        <v>5</v>
      </c>
      <c r="S27" s="4">
        <v>7</v>
      </c>
      <c r="T27" s="4">
        <v>11</v>
      </c>
      <c r="U27" s="4">
        <v>2</v>
      </c>
      <c r="V27" s="4">
        <v>18</v>
      </c>
      <c r="W27" s="4">
        <v>16</v>
      </c>
      <c r="X27" s="4">
        <v>12</v>
      </c>
      <c r="Y27" s="4">
        <v>14</v>
      </c>
      <c r="Z27" s="4">
        <v>8</v>
      </c>
      <c r="AA27" s="4">
        <v>10</v>
      </c>
      <c r="AB27" s="4">
        <v>4</v>
      </c>
      <c r="AC27" s="4">
        <v>6</v>
      </c>
    </row>
    <row r="28" spans="1:29" x14ac:dyDescent="0.25">
      <c r="A28" s="4">
        <v>27</v>
      </c>
      <c r="B28" s="22" t="s">
        <v>35</v>
      </c>
      <c r="C28" s="4">
        <v>129</v>
      </c>
      <c r="D28" s="4">
        <v>129</v>
      </c>
      <c r="E28" s="4">
        <v>125</v>
      </c>
      <c r="F28" s="21">
        <v>71.3</v>
      </c>
      <c r="G28" s="21">
        <v>71.3</v>
      </c>
      <c r="H28" s="21">
        <v>70.2</v>
      </c>
      <c r="I28" s="21">
        <v>71</v>
      </c>
      <c r="J28" s="21">
        <v>71</v>
      </c>
      <c r="K28" s="21">
        <v>71</v>
      </c>
      <c r="L28" s="4">
        <v>9</v>
      </c>
      <c r="M28" s="4">
        <v>11</v>
      </c>
      <c r="N28" s="4">
        <v>17</v>
      </c>
      <c r="O28" s="4">
        <v>3</v>
      </c>
      <c r="P28" s="4">
        <v>15</v>
      </c>
      <c r="Q28" s="101">
        <v>13</v>
      </c>
      <c r="R28" s="4">
        <v>5</v>
      </c>
      <c r="S28" s="4">
        <v>7</v>
      </c>
      <c r="T28" s="4">
        <v>1</v>
      </c>
      <c r="U28" s="4">
        <v>8</v>
      </c>
      <c r="V28" s="4">
        <v>18</v>
      </c>
      <c r="W28" s="4">
        <v>14</v>
      </c>
      <c r="X28" s="4">
        <v>2</v>
      </c>
      <c r="Y28" s="4">
        <v>10</v>
      </c>
      <c r="Z28" s="4">
        <v>16</v>
      </c>
      <c r="AA28" s="4">
        <v>4</v>
      </c>
      <c r="AB28" s="4">
        <v>12</v>
      </c>
      <c r="AC28" s="4">
        <v>6</v>
      </c>
    </row>
    <row r="29" spans="1:29" x14ac:dyDescent="0.25">
      <c r="A29" s="4">
        <v>28</v>
      </c>
      <c r="B29" s="22" t="s">
        <v>55</v>
      </c>
      <c r="C29" s="4">
        <v>132</v>
      </c>
      <c r="D29" s="4">
        <v>132</v>
      </c>
      <c r="E29" s="4">
        <v>132</v>
      </c>
      <c r="F29" s="21">
        <v>71.5</v>
      </c>
      <c r="G29" s="21">
        <v>71.5</v>
      </c>
      <c r="H29" s="21">
        <v>69.3</v>
      </c>
      <c r="I29" s="21">
        <v>71</v>
      </c>
      <c r="J29" s="21">
        <v>71</v>
      </c>
      <c r="K29" s="21">
        <v>71</v>
      </c>
      <c r="L29" s="4">
        <v>3</v>
      </c>
      <c r="M29" s="4">
        <v>15</v>
      </c>
      <c r="N29" s="4">
        <v>7</v>
      </c>
      <c r="O29" s="4">
        <v>1</v>
      </c>
      <c r="P29" s="4">
        <v>9</v>
      </c>
      <c r="Q29" s="4">
        <v>5</v>
      </c>
      <c r="R29" s="4">
        <v>17</v>
      </c>
      <c r="S29" s="4">
        <v>11</v>
      </c>
      <c r="T29" s="4">
        <v>13</v>
      </c>
      <c r="U29" s="4">
        <v>12</v>
      </c>
      <c r="V29" s="4">
        <v>4</v>
      </c>
      <c r="W29" s="4">
        <v>18</v>
      </c>
      <c r="X29" s="4">
        <v>16</v>
      </c>
      <c r="Y29" s="4">
        <v>6</v>
      </c>
      <c r="Z29" s="4">
        <v>14</v>
      </c>
      <c r="AA29" s="4">
        <v>8</v>
      </c>
      <c r="AB29" s="4">
        <v>2</v>
      </c>
      <c r="AC29" s="4">
        <v>10</v>
      </c>
    </row>
    <row r="30" spans="1:29" x14ac:dyDescent="0.25">
      <c r="A30" s="4">
        <v>29</v>
      </c>
      <c r="B30" s="22" t="s">
        <v>56</v>
      </c>
      <c r="C30" s="4">
        <v>131</v>
      </c>
      <c r="D30" s="4">
        <v>131</v>
      </c>
      <c r="E30" s="4">
        <v>127</v>
      </c>
      <c r="F30" s="21">
        <v>69.3</v>
      </c>
      <c r="G30" s="21">
        <v>69.3</v>
      </c>
      <c r="H30" s="21">
        <v>67.7</v>
      </c>
      <c r="I30" s="21">
        <v>70</v>
      </c>
      <c r="J30" s="21">
        <v>70</v>
      </c>
      <c r="K30" s="21">
        <v>70</v>
      </c>
      <c r="L30" s="4">
        <v>5</v>
      </c>
      <c r="M30" s="4">
        <v>17</v>
      </c>
      <c r="N30" s="4">
        <v>1</v>
      </c>
      <c r="O30" s="4">
        <v>9</v>
      </c>
      <c r="P30" s="4">
        <v>7</v>
      </c>
      <c r="Q30" s="4">
        <v>15</v>
      </c>
      <c r="R30" s="4">
        <v>11</v>
      </c>
      <c r="S30" s="4">
        <v>3</v>
      </c>
      <c r="T30" s="4">
        <v>13</v>
      </c>
      <c r="U30" s="4">
        <v>4</v>
      </c>
      <c r="V30" s="4">
        <v>16</v>
      </c>
      <c r="W30" s="4">
        <v>10</v>
      </c>
      <c r="X30" s="4">
        <v>8</v>
      </c>
      <c r="Y30" s="4">
        <v>12</v>
      </c>
      <c r="Z30" s="4">
        <v>6</v>
      </c>
      <c r="AA30" s="4">
        <v>18</v>
      </c>
      <c r="AB30" s="4">
        <v>2</v>
      </c>
      <c r="AC30" s="4">
        <v>14</v>
      </c>
    </row>
    <row r="31" spans="1:29" x14ac:dyDescent="0.25">
      <c r="A31" s="4">
        <v>30</v>
      </c>
      <c r="B31" s="22" t="s">
        <v>34</v>
      </c>
      <c r="C31" s="4">
        <v>134</v>
      </c>
      <c r="D31" s="4">
        <v>134</v>
      </c>
      <c r="E31" s="4">
        <v>130</v>
      </c>
      <c r="F31" s="21">
        <v>71.8</v>
      </c>
      <c r="G31" s="21">
        <v>71.8</v>
      </c>
      <c r="H31" s="21">
        <v>70</v>
      </c>
      <c r="I31" s="21">
        <v>71</v>
      </c>
      <c r="J31" s="21">
        <v>71</v>
      </c>
      <c r="K31" s="21">
        <v>71</v>
      </c>
      <c r="L31" s="4">
        <v>16</v>
      </c>
      <c r="M31" s="4">
        <v>10</v>
      </c>
      <c r="N31" s="4">
        <v>6</v>
      </c>
      <c r="O31" s="4">
        <v>2</v>
      </c>
      <c r="P31" s="4">
        <v>12</v>
      </c>
      <c r="Q31" s="4">
        <v>14</v>
      </c>
      <c r="R31" s="4">
        <v>8</v>
      </c>
      <c r="S31" s="4">
        <v>18</v>
      </c>
      <c r="T31" s="4">
        <v>4</v>
      </c>
      <c r="U31" s="4">
        <v>5</v>
      </c>
      <c r="V31" s="4">
        <v>7</v>
      </c>
      <c r="W31" s="4">
        <v>17</v>
      </c>
      <c r="X31" s="4">
        <v>3</v>
      </c>
      <c r="Y31" s="4">
        <v>1</v>
      </c>
      <c r="Z31" s="4">
        <v>13</v>
      </c>
      <c r="AA31" s="4">
        <v>15</v>
      </c>
      <c r="AB31" s="4">
        <v>9</v>
      </c>
      <c r="AC31" s="4">
        <v>11</v>
      </c>
    </row>
    <row r="32" spans="1:29" x14ac:dyDescent="0.25">
      <c r="A32" s="4">
        <v>31</v>
      </c>
      <c r="B32" s="22" t="s">
        <v>57</v>
      </c>
      <c r="C32" s="4">
        <v>125</v>
      </c>
      <c r="D32" s="4">
        <v>125</v>
      </c>
      <c r="E32" s="4">
        <v>122</v>
      </c>
      <c r="F32" s="21">
        <v>71.400000000000006</v>
      </c>
      <c r="G32" s="21">
        <v>71.400000000000006</v>
      </c>
      <c r="H32" s="21">
        <v>69.3</v>
      </c>
      <c r="I32" s="21">
        <v>72</v>
      </c>
      <c r="J32" s="21">
        <v>72</v>
      </c>
      <c r="K32" s="21">
        <v>72</v>
      </c>
      <c r="L32" s="4">
        <v>4</v>
      </c>
      <c r="M32" s="4">
        <v>14</v>
      </c>
      <c r="N32" s="4">
        <v>10</v>
      </c>
      <c r="O32" s="4">
        <v>2</v>
      </c>
      <c r="P32" s="4">
        <v>16</v>
      </c>
      <c r="Q32" s="4">
        <v>18</v>
      </c>
      <c r="R32" s="4">
        <v>12</v>
      </c>
      <c r="S32" s="4">
        <v>8</v>
      </c>
      <c r="T32" s="4">
        <v>6</v>
      </c>
      <c r="U32" s="4">
        <v>15</v>
      </c>
      <c r="V32" s="4">
        <v>13</v>
      </c>
      <c r="W32" s="4">
        <v>1</v>
      </c>
      <c r="X32" s="4">
        <v>5</v>
      </c>
      <c r="Y32" s="4">
        <v>11</v>
      </c>
      <c r="Z32" s="4">
        <v>3</v>
      </c>
      <c r="AA32" s="4">
        <v>7</v>
      </c>
      <c r="AB32" s="4">
        <v>17</v>
      </c>
      <c r="AC32" s="4">
        <v>9</v>
      </c>
    </row>
    <row r="33" spans="1:29" x14ac:dyDescent="0.25">
      <c r="A33" s="4">
        <v>32</v>
      </c>
      <c r="B33" s="22" t="s">
        <v>58</v>
      </c>
      <c r="C33" s="4">
        <v>125</v>
      </c>
      <c r="D33" s="4">
        <v>125</v>
      </c>
      <c r="E33" s="4">
        <v>122</v>
      </c>
      <c r="F33" s="21">
        <v>70.2</v>
      </c>
      <c r="G33" s="21">
        <v>70.2</v>
      </c>
      <c r="H33" s="21">
        <v>68.400000000000006</v>
      </c>
      <c r="I33" s="21">
        <v>72</v>
      </c>
      <c r="J33" s="21">
        <v>72</v>
      </c>
      <c r="K33" s="21">
        <v>72</v>
      </c>
      <c r="L33" s="4">
        <v>12</v>
      </c>
      <c r="M33" s="4">
        <v>4</v>
      </c>
      <c r="N33" s="4">
        <v>18</v>
      </c>
      <c r="O33" s="4">
        <v>14</v>
      </c>
      <c r="P33" s="4">
        <v>2</v>
      </c>
      <c r="Q33" s="4">
        <v>10</v>
      </c>
      <c r="R33" s="4">
        <v>8</v>
      </c>
      <c r="S33" s="4">
        <v>6</v>
      </c>
      <c r="T33" s="4">
        <v>16</v>
      </c>
      <c r="U33" s="4">
        <v>15</v>
      </c>
      <c r="V33" s="4">
        <v>13</v>
      </c>
      <c r="W33" s="4">
        <v>3</v>
      </c>
      <c r="X33" s="4">
        <v>1</v>
      </c>
      <c r="Y33" s="4">
        <v>7</v>
      </c>
      <c r="Z33" s="4">
        <v>5</v>
      </c>
      <c r="AA33" s="4">
        <v>17</v>
      </c>
      <c r="AB33" s="4">
        <v>9</v>
      </c>
      <c r="AC33" s="4">
        <v>11</v>
      </c>
    </row>
    <row r="34" spans="1:29" x14ac:dyDescent="0.25">
      <c r="A34" s="4">
        <v>33</v>
      </c>
      <c r="B34" s="22" t="s">
        <v>96</v>
      </c>
      <c r="C34" s="4">
        <v>132</v>
      </c>
      <c r="D34" s="4">
        <v>132</v>
      </c>
      <c r="E34" s="4">
        <v>117</v>
      </c>
      <c r="F34" s="21">
        <v>70.8</v>
      </c>
      <c r="G34" s="21">
        <v>70.8</v>
      </c>
      <c r="H34" s="21">
        <v>68</v>
      </c>
      <c r="I34" s="21">
        <v>71</v>
      </c>
      <c r="J34" s="21">
        <v>71</v>
      </c>
      <c r="K34" s="21">
        <v>71</v>
      </c>
      <c r="L34" s="4">
        <v>8</v>
      </c>
      <c r="M34" s="4">
        <v>10</v>
      </c>
      <c r="N34" s="4">
        <v>14</v>
      </c>
      <c r="O34" s="4">
        <v>6</v>
      </c>
      <c r="P34" s="4">
        <v>12</v>
      </c>
      <c r="Q34" s="4">
        <v>18</v>
      </c>
      <c r="R34" s="4">
        <v>4</v>
      </c>
      <c r="S34" s="4">
        <v>16</v>
      </c>
      <c r="T34" s="4">
        <v>2</v>
      </c>
      <c r="U34" s="4">
        <v>9</v>
      </c>
      <c r="V34" s="4">
        <v>1</v>
      </c>
      <c r="W34" s="4">
        <v>13</v>
      </c>
      <c r="X34" s="4">
        <v>7</v>
      </c>
      <c r="Y34" s="4">
        <v>5</v>
      </c>
      <c r="Z34" s="4">
        <v>17</v>
      </c>
      <c r="AA34" s="4">
        <v>15</v>
      </c>
      <c r="AB34" s="4">
        <v>11</v>
      </c>
      <c r="AC34" s="4">
        <v>3</v>
      </c>
    </row>
    <row r="35" spans="1:29" x14ac:dyDescent="0.25">
      <c r="A35" s="4">
        <v>34</v>
      </c>
      <c r="B35" s="22" t="s">
        <v>36</v>
      </c>
      <c r="C35" s="4">
        <v>140</v>
      </c>
      <c r="D35" s="4">
        <v>140</v>
      </c>
      <c r="E35" s="4">
        <v>132</v>
      </c>
      <c r="F35" s="21">
        <v>72.2</v>
      </c>
      <c r="G35" s="21">
        <v>72.2</v>
      </c>
      <c r="H35" s="21">
        <v>70.5</v>
      </c>
      <c r="I35" s="21">
        <v>72</v>
      </c>
      <c r="J35" s="21">
        <v>72</v>
      </c>
      <c r="K35" s="21">
        <v>72</v>
      </c>
      <c r="L35" s="4">
        <v>7</v>
      </c>
      <c r="M35" s="4">
        <v>5</v>
      </c>
      <c r="N35" s="4">
        <v>4</v>
      </c>
      <c r="O35" s="4">
        <v>12</v>
      </c>
      <c r="P35" s="4">
        <v>6</v>
      </c>
      <c r="Q35" s="4">
        <v>2</v>
      </c>
      <c r="R35" s="4">
        <v>14</v>
      </c>
      <c r="S35" s="4">
        <v>17</v>
      </c>
      <c r="T35" s="4">
        <v>15</v>
      </c>
      <c r="U35" s="4">
        <v>11</v>
      </c>
      <c r="V35" s="4">
        <v>16</v>
      </c>
      <c r="W35" s="4">
        <v>13</v>
      </c>
      <c r="X35" s="4">
        <v>1</v>
      </c>
      <c r="Y35" s="4">
        <v>10</v>
      </c>
      <c r="Z35" s="4">
        <v>18</v>
      </c>
      <c r="AA35" s="4">
        <v>9</v>
      </c>
      <c r="AB35" s="4">
        <v>8</v>
      </c>
      <c r="AC35" s="4">
        <v>3</v>
      </c>
    </row>
    <row r="36" spans="1:29" x14ac:dyDescent="0.25">
      <c r="A36" s="4">
        <v>35</v>
      </c>
      <c r="B36" s="22" t="s">
        <v>60</v>
      </c>
      <c r="C36" s="4">
        <v>131</v>
      </c>
      <c r="D36" s="4">
        <v>131</v>
      </c>
      <c r="E36" s="4">
        <v>123</v>
      </c>
      <c r="F36" s="21">
        <v>72.400000000000006</v>
      </c>
      <c r="G36" s="21">
        <v>72.400000000000006</v>
      </c>
      <c r="H36" s="21">
        <v>70.5</v>
      </c>
      <c r="I36" s="21">
        <v>72</v>
      </c>
      <c r="J36" s="21">
        <v>72</v>
      </c>
      <c r="K36" s="21">
        <v>72</v>
      </c>
      <c r="L36" s="4">
        <v>7</v>
      </c>
      <c r="M36" s="4">
        <v>3</v>
      </c>
      <c r="N36" s="4">
        <v>9</v>
      </c>
      <c r="O36" s="4">
        <v>11</v>
      </c>
      <c r="P36" s="4">
        <v>13</v>
      </c>
      <c r="Q36" s="4">
        <v>17</v>
      </c>
      <c r="R36" s="4">
        <v>5</v>
      </c>
      <c r="S36" s="4">
        <v>1</v>
      </c>
      <c r="T36" s="4">
        <v>15</v>
      </c>
      <c r="U36" s="4">
        <v>4</v>
      </c>
      <c r="V36" s="4">
        <v>8</v>
      </c>
      <c r="W36" s="4">
        <v>2</v>
      </c>
      <c r="X36" s="4">
        <v>16</v>
      </c>
      <c r="Y36" s="4">
        <v>12</v>
      </c>
      <c r="Z36" s="4">
        <v>14</v>
      </c>
      <c r="AA36" s="4">
        <v>10</v>
      </c>
      <c r="AB36" s="4">
        <v>18</v>
      </c>
      <c r="AC36" s="4">
        <v>6</v>
      </c>
    </row>
    <row r="37" spans="1:29" x14ac:dyDescent="0.25">
      <c r="A37" s="4">
        <v>36</v>
      </c>
      <c r="B37" s="22" t="s">
        <v>22</v>
      </c>
      <c r="C37" s="4">
        <v>126</v>
      </c>
      <c r="D37" s="4">
        <v>122</v>
      </c>
      <c r="E37" s="4">
        <v>119</v>
      </c>
      <c r="F37" s="21">
        <v>69.2</v>
      </c>
      <c r="G37" s="21">
        <v>67.599999999999994</v>
      </c>
      <c r="H37" s="21">
        <v>66</v>
      </c>
      <c r="I37" s="21">
        <v>70</v>
      </c>
      <c r="J37" s="21">
        <v>70</v>
      </c>
      <c r="K37" s="21">
        <v>70</v>
      </c>
      <c r="L37" s="4">
        <v>17</v>
      </c>
      <c r="M37" s="4">
        <v>9</v>
      </c>
      <c r="N37" s="4">
        <v>15</v>
      </c>
      <c r="O37" s="4">
        <v>11</v>
      </c>
      <c r="P37" s="4">
        <v>1</v>
      </c>
      <c r="Q37" s="4">
        <v>13</v>
      </c>
      <c r="R37" s="4">
        <v>3</v>
      </c>
      <c r="S37" s="4">
        <v>7</v>
      </c>
      <c r="T37" s="4">
        <v>5</v>
      </c>
      <c r="U37" s="4">
        <v>14</v>
      </c>
      <c r="V37" s="4">
        <v>18</v>
      </c>
      <c r="W37" s="4">
        <v>12</v>
      </c>
      <c r="X37" s="4">
        <v>10</v>
      </c>
      <c r="Y37" s="4">
        <v>6</v>
      </c>
      <c r="Z37" s="4">
        <v>4</v>
      </c>
      <c r="AA37" s="4">
        <v>16</v>
      </c>
      <c r="AB37" s="4">
        <v>2</v>
      </c>
      <c r="AC37" s="4">
        <v>8</v>
      </c>
    </row>
    <row r="38" spans="1:29" x14ac:dyDescent="0.25">
      <c r="A38" s="4">
        <v>37</v>
      </c>
      <c r="B38" s="22" t="s">
        <v>61</v>
      </c>
      <c r="C38" s="4">
        <v>130</v>
      </c>
      <c r="D38" s="4">
        <v>130</v>
      </c>
      <c r="E38" s="4">
        <v>126</v>
      </c>
      <c r="F38" s="21">
        <v>71.5</v>
      </c>
      <c r="G38" s="21">
        <v>71.5</v>
      </c>
      <c r="H38" s="21">
        <v>70.2</v>
      </c>
      <c r="I38" s="21">
        <v>72</v>
      </c>
      <c r="J38" s="21">
        <v>72</v>
      </c>
      <c r="K38" s="21">
        <v>72</v>
      </c>
      <c r="L38" s="4">
        <v>16</v>
      </c>
      <c r="M38" s="4">
        <v>12</v>
      </c>
      <c r="N38" s="4">
        <v>4</v>
      </c>
      <c r="O38" s="4">
        <v>10</v>
      </c>
      <c r="P38" s="4">
        <v>2</v>
      </c>
      <c r="Q38" s="4">
        <v>6</v>
      </c>
      <c r="R38" s="4">
        <v>14</v>
      </c>
      <c r="S38" s="4">
        <v>8</v>
      </c>
      <c r="T38" s="4">
        <v>18</v>
      </c>
      <c r="U38" s="4">
        <v>7</v>
      </c>
      <c r="V38" s="4">
        <v>1</v>
      </c>
      <c r="W38" s="4">
        <v>5</v>
      </c>
      <c r="X38" s="4">
        <v>11</v>
      </c>
      <c r="Y38" s="4">
        <v>9</v>
      </c>
      <c r="Z38" s="4">
        <v>15</v>
      </c>
      <c r="AA38" s="4">
        <v>13</v>
      </c>
      <c r="AB38" s="4">
        <v>3</v>
      </c>
      <c r="AC38" s="4">
        <v>17</v>
      </c>
    </row>
    <row r="41" spans="1:29" x14ac:dyDescent="0.25">
      <c r="B41" s="6" t="s">
        <v>28</v>
      </c>
      <c r="C41" s="20"/>
      <c r="D41" s="4">
        <v>2</v>
      </c>
      <c r="E41" s="20"/>
    </row>
    <row r="46" spans="1:29" x14ac:dyDescent="0.25">
      <c r="B46" s="22" t="s">
        <v>23</v>
      </c>
    </row>
    <row r="47" spans="1:29" x14ac:dyDescent="0.25">
      <c r="B47" s="22" t="s">
        <v>41</v>
      </c>
    </row>
    <row r="48" spans="1:29" x14ac:dyDescent="0.25">
      <c r="B48" s="22" t="s">
        <v>40</v>
      </c>
    </row>
    <row r="49" spans="2:3" x14ac:dyDescent="0.25">
      <c r="B49" s="3" t="s">
        <v>42</v>
      </c>
      <c r="C49" s="24"/>
    </row>
    <row r="50" spans="2:3" x14ac:dyDescent="0.25">
      <c r="B50" s="3" t="s">
        <v>39</v>
      </c>
    </row>
    <row r="51" spans="2:3" x14ac:dyDescent="0.25">
      <c r="B51" s="3" t="s">
        <v>43</v>
      </c>
    </row>
    <row r="52" spans="2:3" x14ac:dyDescent="0.25">
      <c r="B52" s="3" t="s">
        <v>32</v>
      </c>
    </row>
    <row r="53" spans="2:3" x14ac:dyDescent="0.25">
      <c r="B53" s="3" t="s">
        <v>44</v>
      </c>
    </row>
    <row r="54" spans="2:3" x14ac:dyDescent="0.25">
      <c r="B54" s="9" t="s">
        <v>1</v>
      </c>
    </row>
    <row r="55" spans="2:3" x14ac:dyDescent="0.25">
      <c r="B55" s="3" t="s">
        <v>38</v>
      </c>
    </row>
    <row r="56" spans="2:3" x14ac:dyDescent="0.25">
      <c r="B56" s="3" t="s">
        <v>45</v>
      </c>
    </row>
    <row r="57" spans="2:3" x14ac:dyDescent="0.25">
      <c r="B57" s="3" t="s">
        <v>37</v>
      </c>
    </row>
    <row r="58" spans="2:3" x14ac:dyDescent="0.25">
      <c r="B58" s="3" t="s">
        <v>46</v>
      </c>
    </row>
    <row r="59" spans="2:3" x14ac:dyDescent="0.25">
      <c r="B59" s="9" t="s">
        <v>21</v>
      </c>
    </row>
    <row r="60" spans="2:3" x14ac:dyDescent="0.25">
      <c r="B60" s="3" t="s">
        <v>47</v>
      </c>
    </row>
    <row r="61" spans="2:3" x14ac:dyDescent="0.25">
      <c r="B61" s="3" t="s">
        <v>48</v>
      </c>
    </row>
    <row r="62" spans="2:3" x14ac:dyDescent="0.25">
      <c r="B62" s="3" t="s">
        <v>33</v>
      </c>
    </row>
    <row r="63" spans="2:3" x14ac:dyDescent="0.25">
      <c r="B63" s="3" t="s">
        <v>31</v>
      </c>
    </row>
    <row r="64" spans="2:3" x14ac:dyDescent="0.25">
      <c r="B64" s="3" t="s">
        <v>49</v>
      </c>
    </row>
    <row r="65" spans="2:2" x14ac:dyDescent="0.25">
      <c r="B65" s="3" t="s">
        <v>50</v>
      </c>
    </row>
    <row r="66" spans="2:2" x14ac:dyDescent="0.25">
      <c r="B66" s="3" t="s">
        <v>51</v>
      </c>
    </row>
    <row r="67" spans="2:2" x14ac:dyDescent="0.25">
      <c r="B67" s="9" t="s">
        <v>24</v>
      </c>
    </row>
    <row r="68" spans="2:2" x14ac:dyDescent="0.25">
      <c r="B68" s="3" t="s">
        <v>52</v>
      </c>
    </row>
    <row r="69" spans="2:2" x14ac:dyDescent="0.25">
      <c r="B69" s="3" t="s">
        <v>53</v>
      </c>
    </row>
    <row r="70" spans="2:2" x14ac:dyDescent="0.25">
      <c r="B70" s="3" t="s">
        <v>54</v>
      </c>
    </row>
    <row r="71" spans="2:2" x14ac:dyDescent="0.25">
      <c r="B71" s="3" t="s">
        <v>35</v>
      </c>
    </row>
    <row r="72" spans="2:2" x14ac:dyDescent="0.25">
      <c r="B72" s="3" t="s">
        <v>55</v>
      </c>
    </row>
    <row r="73" spans="2:2" x14ac:dyDescent="0.25">
      <c r="B73" s="3" t="s">
        <v>56</v>
      </c>
    </row>
    <row r="74" spans="2:2" x14ac:dyDescent="0.25">
      <c r="B74" s="3" t="s">
        <v>34</v>
      </c>
    </row>
    <row r="75" spans="2:2" x14ac:dyDescent="0.25">
      <c r="B75" s="3" t="s">
        <v>57</v>
      </c>
    </row>
    <row r="76" spans="2:2" x14ac:dyDescent="0.25">
      <c r="B76" s="3" t="s">
        <v>58</v>
      </c>
    </row>
    <row r="77" spans="2:2" x14ac:dyDescent="0.25">
      <c r="B77" s="3" t="s">
        <v>59</v>
      </c>
    </row>
    <row r="78" spans="2:2" x14ac:dyDescent="0.25">
      <c r="B78" s="3" t="s">
        <v>36</v>
      </c>
    </row>
    <row r="79" spans="2:2" x14ac:dyDescent="0.25">
      <c r="B79" s="3" t="s">
        <v>60</v>
      </c>
    </row>
    <row r="80" spans="2:2" x14ac:dyDescent="0.25">
      <c r="B80" s="9" t="s">
        <v>22</v>
      </c>
    </row>
    <row r="81" spans="2:2" x14ac:dyDescent="0.25">
      <c r="B81" s="3" t="s">
        <v>61</v>
      </c>
    </row>
  </sheetData>
  <sheetProtection algorithmName="SHA-512" hashValue="iiaHYTRH3HfUWdF7Ld83Ibpfo5ajXC3MiPuJAVHoEoY+/mODuGXE5R5oZRT/XM2pVdOmsArIB/5tq8IdJ9uGKw==" saltValue="xR8G6870TxhVuHXuPv21bg==" spinCount="100000" sheet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R60"/>
  <sheetViews>
    <sheetView showGridLines="0" tabSelected="1" workbookViewId="0">
      <selection activeCell="S28" sqref="S28"/>
    </sheetView>
  </sheetViews>
  <sheetFormatPr baseColWidth="10" defaultRowHeight="15" x14ac:dyDescent="0.25"/>
  <cols>
    <col min="1" max="1" width="11.42578125" style="11"/>
    <col min="2" max="2" width="16.42578125" style="11" customWidth="1"/>
    <col min="3" max="3" width="12.7109375" style="11" customWidth="1"/>
    <col min="4" max="4" width="5.7109375" style="11" customWidth="1"/>
    <col min="5" max="6" width="12.7109375" style="11" customWidth="1"/>
    <col min="7" max="7" width="13.42578125" style="15" customWidth="1"/>
    <col min="8" max="14" width="0" style="11" hidden="1" customWidth="1"/>
    <col min="15" max="16384" width="11.42578125" style="11"/>
  </cols>
  <sheetData>
    <row r="1" spans="1:18" ht="15.75" x14ac:dyDescent="0.25">
      <c r="A1" s="84"/>
      <c r="B1" s="41" t="s">
        <v>0</v>
      </c>
      <c r="C1" s="102" t="s">
        <v>43</v>
      </c>
      <c r="D1" s="102"/>
      <c r="E1" s="102"/>
      <c r="F1" s="102"/>
      <c r="G1" s="36"/>
      <c r="H1" s="37"/>
      <c r="I1" s="37"/>
      <c r="J1" s="37"/>
      <c r="K1" s="37"/>
      <c r="L1" s="37"/>
      <c r="M1" s="37"/>
      <c r="N1" s="37"/>
      <c r="O1" s="89"/>
    </row>
    <row r="2" spans="1:18" hidden="1" x14ac:dyDescent="0.25">
      <c r="A2" s="85"/>
      <c r="B2" s="42"/>
      <c r="C2" s="105" t="s">
        <v>25</v>
      </c>
      <c r="D2" s="106"/>
      <c r="E2" s="97">
        <f>IF(C1="","",VLOOKUP(C1,GOLFS!B2:AC38,2,0))</f>
        <v>129</v>
      </c>
      <c r="F2" s="82"/>
      <c r="G2" s="31"/>
      <c r="H2" s="12"/>
      <c r="I2" s="12"/>
      <c r="J2" s="12"/>
      <c r="K2" s="12"/>
      <c r="L2" s="12"/>
      <c r="M2" s="12"/>
      <c r="N2" s="12"/>
      <c r="O2" s="38"/>
    </row>
    <row r="3" spans="1:18" x14ac:dyDescent="0.25">
      <c r="A3" s="85"/>
      <c r="B3" s="18" t="s">
        <v>71</v>
      </c>
      <c r="C3" s="90" t="s">
        <v>69</v>
      </c>
      <c r="D3" s="17"/>
      <c r="E3" s="71" t="str">
        <f>IF(C3="F","Dossier des femmes non traité"," ")</f>
        <v xml:space="preserve"> </v>
      </c>
      <c r="F3" s="17"/>
      <c r="G3" s="16"/>
      <c r="H3" s="17"/>
      <c r="I3" s="17"/>
      <c r="J3" s="17"/>
      <c r="K3" s="17"/>
      <c r="L3" s="17"/>
      <c r="M3" s="17"/>
      <c r="N3" s="17"/>
      <c r="O3" s="87"/>
    </row>
    <row r="4" spans="1:18" x14ac:dyDescent="0.25">
      <c r="A4" s="85"/>
      <c r="B4" s="18" t="s">
        <v>68</v>
      </c>
      <c r="C4" s="90" t="s">
        <v>73</v>
      </c>
      <c r="D4" s="17"/>
      <c r="E4" s="17"/>
      <c r="F4" s="17"/>
      <c r="G4" s="16"/>
      <c r="H4" s="17"/>
      <c r="I4" s="17"/>
      <c r="J4" s="17"/>
      <c r="K4" s="17"/>
      <c r="L4" s="17"/>
      <c r="M4" s="17"/>
      <c r="N4" s="17"/>
      <c r="O4" s="87"/>
    </row>
    <row r="5" spans="1:18" x14ac:dyDescent="0.25">
      <c r="A5" s="85"/>
      <c r="B5" s="18" t="s">
        <v>75</v>
      </c>
      <c r="C5" s="83">
        <v>23</v>
      </c>
      <c r="E5" s="71" t="str">
        <f>IF(C5&lt;0,"index inférieur à 0 non géré par cette application"," ")</f>
        <v xml:space="preserve"> </v>
      </c>
      <c r="F5" s="71"/>
      <c r="G5" s="72"/>
      <c r="H5" s="17"/>
      <c r="I5" s="17"/>
      <c r="J5" s="17"/>
      <c r="K5" s="17"/>
      <c r="L5" s="17"/>
      <c r="M5" s="17"/>
      <c r="N5" s="17"/>
      <c r="O5" s="87"/>
    </row>
    <row r="6" spans="1:18" x14ac:dyDescent="0.25">
      <c r="A6" s="85"/>
      <c r="B6" s="19"/>
      <c r="C6" s="23"/>
      <c r="D6" s="17"/>
      <c r="E6" s="17"/>
      <c r="F6" s="17"/>
      <c r="G6" s="16"/>
      <c r="H6" s="17"/>
      <c r="I6" s="17"/>
      <c r="J6" s="17"/>
      <c r="K6" s="17"/>
      <c r="L6" s="17"/>
      <c r="M6" s="17"/>
      <c r="N6" s="17"/>
      <c r="O6" s="87"/>
    </row>
    <row r="7" spans="1:18" x14ac:dyDescent="0.25">
      <c r="A7" s="85"/>
      <c r="B7" s="33" t="s">
        <v>79</v>
      </c>
      <c r="C7" s="34">
        <f>IF(C4="B",VLOOKUP(C1,GOLFS!B1:AC38,9,0),IF(C4="J",VLOOKUP(C1,GOLFS!B1:AC38,10,0),VLOOKUP(C1,GOLFS!B1:AC38,8,0)))</f>
        <v>36</v>
      </c>
      <c r="D7" s="17"/>
      <c r="E7" s="17"/>
      <c r="F7" s="17"/>
      <c r="G7" s="16"/>
      <c r="H7" s="17"/>
      <c r="I7" s="17"/>
      <c r="J7" s="17"/>
      <c r="K7" s="17"/>
      <c r="L7" s="17"/>
      <c r="M7" s="17"/>
      <c r="N7" s="17"/>
      <c r="O7" s="87"/>
    </row>
    <row r="8" spans="1:18" x14ac:dyDescent="0.25">
      <c r="A8" s="85"/>
      <c r="B8" s="33" t="s">
        <v>25</v>
      </c>
      <c r="C8" s="34">
        <f>IF(C4="B",VLOOKUP(C1,GOLFS!B1:AC38,3,0),IF(C4="J",VLOOKUP(C1,GOLFS!B1:AC38,4,0),VLOOKUP(C1,GOLFS!B1:AC38,2,0)))</f>
        <v>129</v>
      </c>
      <c r="D8" s="17"/>
      <c r="E8" s="103"/>
      <c r="F8" s="104"/>
      <c r="G8" s="16"/>
      <c r="H8" s="17"/>
      <c r="I8" s="17"/>
      <c r="J8" s="17"/>
      <c r="K8" s="17"/>
      <c r="L8" s="17"/>
      <c r="M8" s="17"/>
      <c r="N8" s="17"/>
      <c r="O8" s="87"/>
    </row>
    <row r="9" spans="1:18" x14ac:dyDescent="0.25">
      <c r="A9" s="85"/>
      <c r="B9" s="33" t="s">
        <v>2</v>
      </c>
      <c r="C9" s="34">
        <f>IF(C4="B",VLOOKUP(C1,GOLFS!B1:AC38,6,0),IF(C4="J",VLOOKUP(C1,GOLFS!B1:AC38,7,0),VLOOKUP(C1,GOLFS!B1:AC38,5,0)))</f>
        <v>72</v>
      </c>
      <c r="D9" s="17"/>
      <c r="E9" s="17"/>
      <c r="F9" s="17"/>
      <c r="G9" s="16"/>
      <c r="H9" s="17"/>
      <c r="I9" s="17"/>
      <c r="J9" s="17"/>
      <c r="K9" s="17"/>
      <c r="L9" s="17"/>
      <c r="M9" s="17"/>
      <c r="N9" s="17"/>
      <c r="O9" s="87"/>
      <c r="R9" s="25"/>
    </row>
    <row r="10" spans="1:18" x14ac:dyDescent="0.25">
      <c r="A10" s="85"/>
      <c r="B10" s="33" t="s">
        <v>26</v>
      </c>
      <c r="C10" s="35">
        <f>IF('liste déroulante'!A7&lt;=0,0,'liste déroulante'!A7)</f>
        <v>62.256637168141594</v>
      </c>
      <c r="D10" s="17"/>
      <c r="E10" s="17"/>
      <c r="F10" s="16"/>
      <c r="G10" s="78"/>
      <c r="H10" s="17"/>
      <c r="I10" s="17"/>
      <c r="J10" s="17"/>
      <c r="K10" s="17"/>
      <c r="L10" s="17"/>
      <c r="M10" s="17"/>
      <c r="N10" s="17"/>
      <c r="O10" s="87"/>
    </row>
    <row r="11" spans="1:18" x14ac:dyDescent="0.25">
      <c r="A11" s="85"/>
      <c r="B11" s="17"/>
      <c r="C11" s="17"/>
      <c r="D11" s="17"/>
      <c r="E11" s="17"/>
      <c r="F11" s="17"/>
      <c r="G11" s="16"/>
      <c r="H11" s="17"/>
      <c r="I11" s="17"/>
      <c r="J11" s="17"/>
      <c r="K11" s="17"/>
      <c r="L11" s="17"/>
      <c r="M11" s="17"/>
      <c r="N11" s="17"/>
      <c r="O11" s="87"/>
    </row>
    <row r="12" spans="1:18" x14ac:dyDescent="0.25">
      <c r="A12" s="85"/>
      <c r="B12" s="17"/>
      <c r="C12" s="17"/>
      <c r="D12" s="17"/>
      <c r="E12" s="17"/>
      <c r="F12" s="17"/>
      <c r="G12" s="16"/>
      <c r="H12" s="17"/>
      <c r="I12" s="17"/>
      <c r="J12" s="17"/>
      <c r="K12" s="17"/>
      <c r="L12" s="17"/>
      <c r="M12" s="17"/>
      <c r="N12" s="17"/>
      <c r="O12" s="87"/>
    </row>
    <row r="13" spans="1:18" x14ac:dyDescent="0.25">
      <c r="A13" s="85"/>
      <c r="B13" s="32" t="s">
        <v>80</v>
      </c>
      <c r="C13" s="32" t="s">
        <v>81</v>
      </c>
      <c r="D13" s="103"/>
      <c r="E13" s="30"/>
      <c r="F13" s="81" t="s">
        <v>82</v>
      </c>
      <c r="G13" s="81" t="s">
        <v>83</v>
      </c>
      <c r="H13" s="17"/>
      <c r="I13" s="17"/>
      <c r="J13" s="17"/>
      <c r="K13" s="17"/>
      <c r="L13" s="17"/>
      <c r="M13" s="17"/>
      <c r="N13" s="17"/>
      <c r="O13" s="87"/>
    </row>
    <row r="14" spans="1:18" x14ac:dyDescent="0.25">
      <c r="A14" s="85"/>
      <c r="B14" s="18" t="s">
        <v>3</v>
      </c>
      <c r="C14" s="18">
        <f>IF(C1="","",VLOOKUP(C1,GOLFS!B1:AC38,11,0))</f>
        <v>13</v>
      </c>
      <c r="D14" s="104"/>
      <c r="E14" s="88"/>
      <c r="F14" s="80" t="str">
        <f>'liste déroulante'!Q1</f>
        <v>T5</v>
      </c>
      <c r="G14" s="79">
        <f>'liste déroulante'!R1</f>
        <v>4</v>
      </c>
      <c r="H14" s="17"/>
      <c r="I14" s="17"/>
      <c r="J14" s="17"/>
      <c r="K14" s="17"/>
      <c r="L14" s="17">
        <v>1</v>
      </c>
      <c r="M14" s="17"/>
      <c r="N14" s="17">
        <v>8</v>
      </c>
      <c r="O14" s="87"/>
    </row>
    <row r="15" spans="1:18" x14ac:dyDescent="0.25">
      <c r="A15" s="85"/>
      <c r="B15" s="18" t="s">
        <v>4</v>
      </c>
      <c r="C15" s="18">
        <f>IF(C1="","",VLOOKUP(C1,GOLFS!B1:AC38,12,0))</f>
        <v>3</v>
      </c>
      <c r="D15" s="104"/>
      <c r="E15" s="88"/>
      <c r="F15" s="80" t="str">
        <f>'liste déroulante'!Q2</f>
        <v>T18</v>
      </c>
      <c r="G15" s="79">
        <f>'liste déroulante'!R2</f>
        <v>4</v>
      </c>
      <c r="H15" s="17"/>
      <c r="I15" s="17"/>
      <c r="J15" s="17"/>
      <c r="K15" s="17"/>
      <c r="L15" s="17">
        <v>1</v>
      </c>
      <c r="M15" s="17"/>
      <c r="N15" s="17">
        <v>5</v>
      </c>
      <c r="O15" s="87"/>
    </row>
    <row r="16" spans="1:18" x14ac:dyDescent="0.25">
      <c r="A16" s="85"/>
      <c r="B16" s="18" t="s">
        <v>5</v>
      </c>
      <c r="C16" s="18">
        <f>IF(C1="","",VLOOKUP(C1,GOLFS!B1:AC38,13,0))</f>
        <v>1</v>
      </c>
      <c r="D16" s="104"/>
      <c r="E16" s="88"/>
      <c r="F16" s="80" t="str">
        <f>'liste déroulante'!Q3</f>
        <v>T3</v>
      </c>
      <c r="G16" s="79">
        <f>'liste déroulante'!R3</f>
        <v>4</v>
      </c>
      <c r="H16" s="17"/>
      <c r="I16" s="17"/>
      <c r="J16" s="17"/>
      <c r="K16" s="17"/>
      <c r="L16" s="17">
        <v>1</v>
      </c>
      <c r="M16" s="17"/>
      <c r="N16" s="17">
        <v>3</v>
      </c>
      <c r="O16" s="87"/>
    </row>
    <row r="17" spans="1:15" x14ac:dyDescent="0.25">
      <c r="A17" s="85"/>
      <c r="B17" s="18" t="s">
        <v>6</v>
      </c>
      <c r="C17" s="18">
        <f>IF(C1="","",VLOOKUP(C1,GOLFS!B1:AC38,14,0))</f>
        <v>7</v>
      </c>
      <c r="D17" s="104"/>
      <c r="E17" s="88"/>
      <c r="F17" s="80" t="str">
        <f>'liste déroulante'!Q4</f>
        <v>T9</v>
      </c>
      <c r="G17" s="79">
        <f>'liste déroulante'!R4</f>
        <v>4</v>
      </c>
      <c r="H17" s="17"/>
      <c r="I17" s="17"/>
      <c r="J17" s="17"/>
      <c r="K17" s="17"/>
      <c r="L17" s="17">
        <v>1</v>
      </c>
      <c r="M17" s="17"/>
      <c r="N17" s="17">
        <v>7</v>
      </c>
      <c r="O17" s="87"/>
    </row>
    <row r="18" spans="1:15" x14ac:dyDescent="0.25">
      <c r="A18" s="85"/>
      <c r="B18" s="18" t="s">
        <v>7</v>
      </c>
      <c r="C18" s="18">
        <f>IF(C1="","",VLOOKUP(C1,GOLFS!B1:AC38,15,0))</f>
        <v>15</v>
      </c>
      <c r="D18" s="104"/>
      <c r="E18" s="88"/>
      <c r="F18" s="80" t="str">
        <f>'liste déroulante'!Q5</f>
        <v>T6</v>
      </c>
      <c r="G18" s="79">
        <f>'liste déroulante'!R5</f>
        <v>4</v>
      </c>
      <c r="H18" s="17"/>
      <c r="I18" s="17"/>
      <c r="J18" s="17"/>
      <c r="K18" s="17"/>
      <c r="L18" s="17">
        <v>1</v>
      </c>
      <c r="M18" s="17"/>
      <c r="N18" s="17">
        <v>5</v>
      </c>
      <c r="O18" s="87"/>
    </row>
    <row r="19" spans="1:15" x14ac:dyDescent="0.25">
      <c r="A19" s="85"/>
      <c r="B19" s="18" t="s">
        <v>8</v>
      </c>
      <c r="C19" s="18">
        <f>IF(C1="","",VLOOKUP(C1,GOLFS!B1:AC38,16,0))</f>
        <v>17</v>
      </c>
      <c r="D19" s="104"/>
      <c r="E19" s="88"/>
      <c r="F19" s="80" t="str">
        <f>'liste déroulante'!Q6</f>
        <v>T1</v>
      </c>
      <c r="G19" s="79">
        <f>'liste déroulante'!R6</f>
        <v>4</v>
      </c>
      <c r="H19" s="17"/>
      <c r="I19" s="17"/>
      <c r="J19" s="17"/>
      <c r="K19" s="17"/>
      <c r="L19" s="17">
        <v>2</v>
      </c>
      <c r="M19" s="17"/>
      <c r="N19" s="17">
        <v>8</v>
      </c>
      <c r="O19" s="87"/>
    </row>
    <row r="20" spans="1:15" x14ac:dyDescent="0.25">
      <c r="A20" s="85"/>
      <c r="B20" s="18" t="s">
        <v>9</v>
      </c>
      <c r="C20" s="18">
        <f>IF(C1="","",VLOOKUP(C1,GOLFS!B1:AC38,17,0))</f>
        <v>5</v>
      </c>
      <c r="D20" s="104"/>
      <c r="E20" s="88"/>
      <c r="F20" s="80" t="str">
        <f>'liste déroulante'!Q7</f>
        <v>T2</v>
      </c>
      <c r="G20" s="79">
        <f>'liste déroulante'!R7</f>
        <v>4</v>
      </c>
      <c r="H20" s="17"/>
      <c r="I20" s="17"/>
      <c r="J20" s="17"/>
      <c r="K20" s="17"/>
      <c r="L20" s="17">
        <v>1</v>
      </c>
      <c r="M20" s="17"/>
      <c r="N20" s="17">
        <v>3</v>
      </c>
      <c r="O20" s="87"/>
    </row>
    <row r="21" spans="1:15" x14ac:dyDescent="0.25">
      <c r="A21" s="85"/>
      <c r="B21" s="18" t="s">
        <v>10</v>
      </c>
      <c r="C21" s="18">
        <f>IF(C1="","",VLOOKUP(C1,GOLFS!B1:AC38,18,0))</f>
        <v>11</v>
      </c>
      <c r="D21" s="104"/>
      <c r="E21" s="88"/>
      <c r="F21" s="80" t="str">
        <f>'liste déroulante'!Q8</f>
        <v>T10</v>
      </c>
      <c r="G21" s="79">
        <f>'liste déroulante'!R8</f>
        <v>4</v>
      </c>
      <c r="H21" s="17"/>
      <c r="I21" s="17"/>
      <c r="J21" s="17"/>
      <c r="K21" s="17"/>
      <c r="L21" s="17">
        <v>1</v>
      </c>
      <c r="M21" s="17"/>
      <c r="N21" s="17">
        <v>5</v>
      </c>
      <c r="O21" s="87"/>
    </row>
    <row r="22" spans="1:15" x14ac:dyDescent="0.25">
      <c r="A22" s="85"/>
      <c r="B22" s="18" t="s">
        <v>11</v>
      </c>
      <c r="C22" s="18">
        <f>IF(C1="","",VLOOKUP(C1,GOLFS!B1:AC38,19,0))</f>
        <v>9</v>
      </c>
      <c r="D22" s="104"/>
      <c r="E22" s="88"/>
      <c r="F22" s="80" t="str">
        <f>'liste déroulante'!Q9</f>
        <v>T8</v>
      </c>
      <c r="G22" s="79">
        <f>'liste déroulante'!R9</f>
        <v>3</v>
      </c>
      <c r="H22" s="17"/>
      <c r="I22" s="17"/>
      <c r="J22" s="17"/>
      <c r="K22" s="17"/>
      <c r="L22" s="17">
        <v>2</v>
      </c>
      <c r="M22" s="17"/>
      <c r="N22" s="17">
        <v>5</v>
      </c>
      <c r="O22" s="87"/>
    </row>
    <row r="23" spans="1:15" x14ac:dyDescent="0.25">
      <c r="A23" s="85"/>
      <c r="B23" s="18" t="s">
        <v>12</v>
      </c>
      <c r="C23" s="18">
        <f>IF(C1="","",VLOOKUP(C1,GOLFS!B1:AC38,20,0))</f>
        <v>14</v>
      </c>
      <c r="D23" s="104"/>
      <c r="E23" s="88"/>
      <c r="F23" s="80" t="str">
        <f>'liste déroulante'!Q10</f>
        <v>T14</v>
      </c>
      <c r="G23" s="79">
        <f>'liste déroulante'!R10</f>
        <v>3</v>
      </c>
      <c r="H23" s="17"/>
      <c r="I23" s="17"/>
      <c r="J23" s="17"/>
      <c r="K23" s="17"/>
      <c r="L23" s="17">
        <v>2</v>
      </c>
      <c r="M23" s="17"/>
      <c r="N23" s="17">
        <v>7</v>
      </c>
      <c r="O23" s="87"/>
    </row>
    <row r="24" spans="1:15" x14ac:dyDescent="0.25">
      <c r="A24" s="85"/>
      <c r="B24" s="18" t="s">
        <v>13</v>
      </c>
      <c r="C24" s="18">
        <f>IF(C1="","",VLOOKUP(C1,GOLFS!B1:AC38,21,0))</f>
        <v>4</v>
      </c>
      <c r="D24" s="104"/>
      <c r="E24" s="88"/>
      <c r="F24" s="80" t="str">
        <f>'liste déroulante'!Q11</f>
        <v>T12</v>
      </c>
      <c r="G24" s="79">
        <f>'liste déroulante'!R11</f>
        <v>3</v>
      </c>
      <c r="H24" s="17"/>
      <c r="I24" s="17"/>
      <c r="J24" s="17"/>
      <c r="K24" s="17"/>
      <c r="L24" s="17">
        <v>1</v>
      </c>
      <c r="M24" s="17"/>
      <c r="N24" s="17">
        <v>7</v>
      </c>
      <c r="O24" s="87"/>
    </row>
    <row r="25" spans="1:15" x14ac:dyDescent="0.25">
      <c r="A25" s="85"/>
      <c r="B25" s="18" t="s">
        <v>14</v>
      </c>
      <c r="C25" s="18">
        <f>IF(C1="","",VLOOKUP(C1,GOLFS!B1:AC38,22,0))</f>
        <v>2</v>
      </c>
      <c r="D25" s="104"/>
      <c r="E25" s="88"/>
      <c r="F25" s="80" t="str">
        <f>'liste déroulante'!Q12</f>
        <v>T13</v>
      </c>
      <c r="G25" s="79">
        <f>'liste déroulante'!R12</f>
        <v>3</v>
      </c>
      <c r="H25" s="17"/>
      <c r="I25" s="17"/>
      <c r="J25" s="17"/>
      <c r="K25" s="17"/>
      <c r="L25" s="17">
        <v>1</v>
      </c>
      <c r="M25" s="17"/>
      <c r="N25" s="17">
        <v>7</v>
      </c>
      <c r="O25" s="87"/>
    </row>
    <row r="26" spans="1:15" x14ac:dyDescent="0.25">
      <c r="A26" s="85"/>
      <c r="B26" s="18" t="s">
        <v>15</v>
      </c>
      <c r="C26" s="18">
        <f>IF(C1="","",VLOOKUP(C1,GOLFS!B1:AC38,23,0))</f>
        <v>8</v>
      </c>
      <c r="D26" s="104"/>
      <c r="E26" s="88"/>
      <c r="F26" s="80" t="str">
        <f>'liste déroulante'!Q13</f>
        <v>T11</v>
      </c>
      <c r="G26" s="79">
        <f>'liste déroulante'!R13</f>
        <v>3</v>
      </c>
      <c r="H26" s="17"/>
      <c r="I26" s="17"/>
      <c r="J26" s="17"/>
      <c r="K26" s="17"/>
      <c r="L26" s="17">
        <v>1</v>
      </c>
      <c r="M26" s="17"/>
      <c r="N26" s="17">
        <v>6</v>
      </c>
      <c r="O26" s="87"/>
    </row>
    <row r="27" spans="1:15" x14ac:dyDescent="0.25">
      <c r="A27" s="85"/>
      <c r="B27" s="18" t="s">
        <v>16</v>
      </c>
      <c r="C27" s="18">
        <f>IF(C1="","",VLOOKUP(C1,GOLFS!B1:AC38,24,0))</f>
        <v>16</v>
      </c>
      <c r="D27" s="104"/>
      <c r="E27" s="88"/>
      <c r="F27" s="80" t="str">
        <f>'liste déroulante'!Q14</f>
        <v>T16</v>
      </c>
      <c r="G27" s="79">
        <f>'liste déroulante'!R14</f>
        <v>3</v>
      </c>
      <c r="H27" s="17"/>
      <c r="I27" s="17"/>
      <c r="J27" s="17"/>
      <c r="K27" s="17"/>
      <c r="L27" s="17">
        <v>1</v>
      </c>
      <c r="M27" s="17"/>
      <c r="N27" s="17">
        <v>4</v>
      </c>
      <c r="O27" s="87"/>
    </row>
    <row r="28" spans="1:15" x14ac:dyDescent="0.25">
      <c r="A28" s="85"/>
      <c r="B28" s="18" t="s">
        <v>17</v>
      </c>
      <c r="C28" s="18">
        <f>IF(C1="","",VLOOKUP(C1,GOLFS!B1:AC38,25,0))</f>
        <v>18</v>
      </c>
      <c r="D28" s="104"/>
      <c r="E28" s="88"/>
      <c r="F28" s="80" t="str">
        <f>'liste déroulante'!Q15</f>
        <v>T4</v>
      </c>
      <c r="G28" s="79">
        <f>'liste déroulante'!R15</f>
        <v>3</v>
      </c>
      <c r="H28" s="17"/>
      <c r="I28" s="17"/>
      <c r="J28" s="17"/>
      <c r="K28" s="17"/>
      <c r="L28" s="17">
        <v>1</v>
      </c>
      <c r="M28" s="17"/>
      <c r="N28" s="17">
        <v>6</v>
      </c>
      <c r="O28" s="87"/>
    </row>
    <row r="29" spans="1:15" x14ac:dyDescent="0.25">
      <c r="A29" s="85"/>
      <c r="B29" s="18" t="s">
        <v>18</v>
      </c>
      <c r="C29" s="18">
        <f>IF(C1="","",VLOOKUP(C1,GOLFS!B1:AC492,26,0))</f>
        <v>6</v>
      </c>
      <c r="D29" s="104"/>
      <c r="E29" s="88"/>
      <c r="F29" s="80" t="str">
        <f>'liste déroulante'!Q16</f>
        <v>T15</v>
      </c>
      <c r="G29" s="79">
        <f>'liste déroulante'!R16</f>
        <v>3</v>
      </c>
      <c r="H29" s="17"/>
      <c r="I29" s="17"/>
      <c r="J29" s="17"/>
      <c r="K29" s="17"/>
      <c r="L29" s="17">
        <v>2</v>
      </c>
      <c r="M29" s="17"/>
      <c r="N29" s="17">
        <v>5</v>
      </c>
      <c r="O29" s="87"/>
    </row>
    <row r="30" spans="1:15" x14ac:dyDescent="0.25">
      <c r="A30" s="85"/>
      <c r="B30" s="18" t="s">
        <v>19</v>
      </c>
      <c r="C30" s="18">
        <f>IF(C1="","",VLOOKUP(C1,GOLFS!B1:AC38,27,0))</f>
        <v>12</v>
      </c>
      <c r="D30" s="104"/>
      <c r="E30" s="88"/>
      <c r="F30" s="80" t="str">
        <f>'liste déroulante'!Q17</f>
        <v>T17</v>
      </c>
      <c r="G30" s="79">
        <f>'liste déroulante'!R17</f>
        <v>3</v>
      </c>
      <c r="H30" s="17"/>
      <c r="I30" s="17"/>
      <c r="J30" s="17"/>
      <c r="K30" s="17"/>
      <c r="L30" s="17">
        <v>1</v>
      </c>
      <c r="M30" s="17"/>
      <c r="N30" s="17">
        <v>4</v>
      </c>
      <c r="O30" s="87"/>
    </row>
    <row r="31" spans="1:15" x14ac:dyDescent="0.25">
      <c r="A31" s="85"/>
      <c r="B31" s="18" t="s">
        <v>20</v>
      </c>
      <c r="C31" s="18">
        <f>IF(C1="","",VLOOKUP(C1,GOLFS!B1:AC38,28,0))</f>
        <v>10</v>
      </c>
      <c r="D31" s="104"/>
      <c r="E31" s="88"/>
      <c r="F31" s="80" t="str">
        <f>'liste déroulante'!Q18</f>
        <v>T7</v>
      </c>
      <c r="G31" s="79">
        <f>'liste déroulante'!R18</f>
        <v>3</v>
      </c>
      <c r="H31" s="17"/>
      <c r="I31" s="17"/>
      <c r="J31" s="17"/>
      <c r="K31" s="17"/>
      <c r="L31" s="17">
        <v>1</v>
      </c>
      <c r="M31" s="17"/>
      <c r="N31" s="17">
        <v>6</v>
      </c>
      <c r="O31" s="87"/>
    </row>
    <row r="32" spans="1:15" x14ac:dyDescent="0.25">
      <c r="A32" s="85"/>
      <c r="B32" s="17"/>
      <c r="C32" s="17"/>
      <c r="D32" s="17"/>
      <c r="E32" s="17"/>
      <c r="F32" s="17"/>
      <c r="G32" s="16"/>
      <c r="H32" s="17"/>
      <c r="I32" s="17"/>
      <c r="J32" s="17"/>
      <c r="K32" s="17"/>
      <c r="L32" s="17"/>
      <c r="M32" s="17"/>
      <c r="N32" s="17"/>
      <c r="O32" s="87"/>
    </row>
    <row r="33" spans="1:15" ht="15.75" thickBot="1" x14ac:dyDescent="0.3">
      <c r="A33" s="86"/>
      <c r="B33" s="39"/>
      <c r="C33" s="39"/>
      <c r="D33" s="39"/>
      <c r="E33" s="39"/>
      <c r="F33" s="39"/>
      <c r="G33" s="40"/>
      <c r="H33" s="39"/>
      <c r="I33" s="39"/>
      <c r="J33" s="39"/>
      <c r="K33" s="39"/>
      <c r="L33" s="39"/>
      <c r="M33" s="39"/>
      <c r="N33" s="39"/>
      <c r="O33" s="109" t="s">
        <v>97</v>
      </c>
    </row>
    <row r="34" spans="1:15" x14ac:dyDescent="0.25">
      <c r="B34" s="12"/>
      <c r="C34" s="12"/>
      <c r="D34" s="12"/>
      <c r="E34" s="12"/>
      <c r="F34" s="12"/>
      <c r="G34" s="31"/>
    </row>
    <row r="35" spans="1:15" x14ac:dyDescent="0.25">
      <c r="B35" s="12"/>
      <c r="C35" s="12"/>
      <c r="D35" s="12"/>
      <c r="E35" s="12"/>
      <c r="F35" s="12"/>
      <c r="G35" s="31"/>
    </row>
    <row r="36" spans="1:15" x14ac:dyDescent="0.25">
      <c r="B36" s="12"/>
      <c r="C36" s="12"/>
      <c r="D36" s="12"/>
      <c r="E36" s="12"/>
      <c r="F36" s="12"/>
      <c r="G36" s="31"/>
    </row>
    <row r="37" spans="1:15" x14ac:dyDescent="0.25">
      <c r="B37" s="12"/>
      <c r="C37" s="12"/>
      <c r="D37" s="12"/>
      <c r="E37" s="12"/>
      <c r="F37" s="12"/>
      <c r="G37" s="31"/>
    </row>
    <row r="38" spans="1:15" x14ac:dyDescent="0.25">
      <c r="B38" s="12"/>
      <c r="C38" s="12"/>
      <c r="D38" s="12"/>
      <c r="E38" s="12"/>
      <c r="F38" s="12"/>
      <c r="G38" s="31"/>
    </row>
    <row r="40" spans="1:15" ht="15.75" hidden="1" thickBot="1" x14ac:dyDescent="0.3">
      <c r="E40" s="14" t="s">
        <v>27</v>
      </c>
    </row>
    <row r="41" spans="1:15" hidden="1" x14ac:dyDescent="0.25">
      <c r="E41" s="13">
        <f>IF(C1="","",SUM(C14,E14,GOLFS!D41))</f>
        <v>15</v>
      </c>
    </row>
    <row r="42" spans="1:15" hidden="1" x14ac:dyDescent="0.25">
      <c r="E42" s="13">
        <f>IF(C1="","",SUM(C15,E15,GOLFS!D41))</f>
        <v>5</v>
      </c>
    </row>
    <row r="43" spans="1:15" hidden="1" x14ac:dyDescent="0.25">
      <c r="E43" s="13">
        <f>IF(C1="","",SUM(C16,E16,GOLFS!D41))</f>
        <v>3</v>
      </c>
    </row>
    <row r="44" spans="1:15" hidden="1" x14ac:dyDescent="0.25">
      <c r="E44" s="13">
        <f>IF(C1="","",SUM(C17,E17,GOLFS!D41))</f>
        <v>9</v>
      </c>
    </row>
    <row r="45" spans="1:15" hidden="1" x14ac:dyDescent="0.25">
      <c r="E45" s="13">
        <f>IF(C1="","",SUM(C18,E18,GOLFS!D41))</f>
        <v>17</v>
      </c>
    </row>
    <row r="46" spans="1:15" hidden="1" x14ac:dyDescent="0.25">
      <c r="E46" s="13">
        <f>IF(C1="","",SUM(C19,E19,GOLFS!D41))</f>
        <v>19</v>
      </c>
    </row>
    <row r="47" spans="1:15" hidden="1" x14ac:dyDescent="0.25">
      <c r="E47" s="13">
        <f>IF(C1="","",SUM(C20,E20,GOLFS!D41))</f>
        <v>7</v>
      </c>
    </row>
    <row r="48" spans="1:15" hidden="1" x14ac:dyDescent="0.25">
      <c r="E48" s="13">
        <f>IF(C1="","",SUM(C21,E21,GOLFS!D41))</f>
        <v>13</v>
      </c>
    </row>
    <row r="49" spans="5:5" hidden="1" x14ac:dyDescent="0.25">
      <c r="E49" s="13">
        <f>IF(C1="","",SUM(C22,E22,GOLFS!D41))</f>
        <v>11</v>
      </c>
    </row>
    <row r="50" spans="5:5" hidden="1" x14ac:dyDescent="0.25">
      <c r="E50" s="13">
        <f>IF(C1="","",SUM(C23,E23,GOLFS!D41))</f>
        <v>16</v>
      </c>
    </row>
    <row r="51" spans="5:5" hidden="1" x14ac:dyDescent="0.25">
      <c r="E51" s="13">
        <f>IF(C1="","",SUM(C24,E24,GOLFS!D41))</f>
        <v>6</v>
      </c>
    </row>
    <row r="52" spans="5:5" hidden="1" x14ac:dyDescent="0.25">
      <c r="E52" s="13">
        <f>IF(C1="","",SUM(C25,E25,GOLFS!D41))</f>
        <v>4</v>
      </c>
    </row>
    <row r="53" spans="5:5" hidden="1" x14ac:dyDescent="0.25">
      <c r="E53" s="13">
        <f>IF(C1="","",SUM(C26,E26,GOLFS!D41))</f>
        <v>10</v>
      </c>
    </row>
    <row r="54" spans="5:5" hidden="1" x14ac:dyDescent="0.25">
      <c r="E54" s="13">
        <f>IF(C1="","",SUM(C27,E27,GOLFS!D41))</f>
        <v>18</v>
      </c>
    </row>
    <row r="55" spans="5:5" hidden="1" x14ac:dyDescent="0.25">
      <c r="E55" s="13">
        <f>IF(C1="","",SUM(C28,E28,GOLFS!D41))</f>
        <v>20</v>
      </c>
    </row>
    <row r="56" spans="5:5" hidden="1" x14ac:dyDescent="0.25">
      <c r="E56" s="13">
        <f>IF(C1="","",SUM(C29,E29,GOLFS!D41))</f>
        <v>8</v>
      </c>
    </row>
    <row r="57" spans="5:5" hidden="1" x14ac:dyDescent="0.25">
      <c r="E57" s="13">
        <f>IF(C1="","",SUM(C30,E30,GOLFS!D41))</f>
        <v>14</v>
      </c>
    </row>
    <row r="58" spans="5:5" hidden="1" x14ac:dyDescent="0.25">
      <c r="E58" s="13">
        <f>IF(C1="","",SUM(C31,E31,GOLFS!D41))</f>
        <v>12</v>
      </c>
    </row>
    <row r="59" spans="5:5" hidden="1" x14ac:dyDescent="0.25"/>
    <row r="60" spans="5:5" hidden="1" x14ac:dyDescent="0.25">
      <c r="E60" s="15" t="s">
        <v>29</v>
      </c>
    </row>
  </sheetData>
  <sheetProtection algorithmName="SHA-512" hashValue="4Jxwus39zNXBx4lnL5afJSUe+TGJuLHT78/y597fGjgLtq7rjmC2G/4w9mPmsUS5PFXMrjo/Ol4e/iHjaVuslw==" saltValue="mBKxces4nR3+PhiWNoBBNw==" spinCount="100000" sheet="1" selectLockedCells="1"/>
  <mergeCells count="4">
    <mergeCell ref="C1:F1"/>
    <mergeCell ref="D13:D31"/>
    <mergeCell ref="C2:D2"/>
    <mergeCell ref="E8:F8"/>
  </mergeCells>
  <conditionalFormatting sqref="G14:G31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eur" error="la valeur est erronée, vous devez vous en tenir aux valeurs de la liste déroulante. Veuillez - Annuler - " xr:uid="{00000000-0002-0000-0100-000000000000}">
          <x14:formula1>
            <xm:f>GOLFS!$B$2:$B$38</xm:f>
          </x14:formula1>
          <xm:sqref>C1:F1</xm:sqref>
        </x14:dataValidation>
        <x14:dataValidation type="list" allowBlank="1" showInputMessage="1" showErrorMessage="1" errorTitle="erreur" error="la valeur est erronée, vous devez vous en tenir aux valeurs de la liste déroulante. Veuillez - Annuler - " xr:uid="{00000000-0002-0000-0100-000001000000}">
          <x14:formula1>
            <xm:f>'liste déroulante'!$A$2:$A$3</xm:f>
          </x14:formula1>
          <xm:sqref>C3</xm:sqref>
        </x14:dataValidation>
        <x14:dataValidation type="list" allowBlank="1" showInputMessage="1" showErrorMessage="1" errorTitle="erreur" error="la valeur est erronée, vous devez vous en tenir aux valeurs de la liste déroulante. Veuillez - Annuler - " xr:uid="{254F3DA0-F88D-4133-9FAD-49AE5D149DF8}">
          <x14:formula1>
            <xm:f>'liste déroulante'!$B$2:$B$4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"/>
  <sheetViews>
    <sheetView showGridLines="0" workbookViewId="0">
      <selection activeCell="E22" sqref="E22"/>
    </sheetView>
  </sheetViews>
  <sheetFormatPr baseColWidth="10" defaultRowHeight="15" x14ac:dyDescent="0.25"/>
  <cols>
    <col min="7" max="8" width="11.42578125" style="27" customWidth="1"/>
    <col min="11" max="11" width="11.42578125" style="27" customWidth="1"/>
    <col min="12" max="13" width="11.42578125" style="51" customWidth="1"/>
    <col min="14" max="15" width="11.42578125" style="28" customWidth="1"/>
    <col min="18" max="18" width="11.42578125" style="51" customWidth="1"/>
  </cols>
  <sheetData>
    <row r="1" spans="1:24" x14ac:dyDescent="0.25">
      <c r="A1" s="93" t="s">
        <v>71</v>
      </c>
      <c r="B1" s="94" t="s">
        <v>91</v>
      </c>
      <c r="G1" s="29" t="str">
        <f>'FICHE PARTIE'!B18</f>
        <v>T5</v>
      </c>
      <c r="H1" s="29">
        <f>'FICHE PARTIE'!C18</f>
        <v>15</v>
      </c>
      <c r="I1" s="26"/>
      <c r="J1" s="46">
        <f>'FICHE PARTIE'!C10</f>
        <v>62.256637168141594</v>
      </c>
      <c r="K1" s="48" t="str">
        <f>G1</f>
        <v>T5</v>
      </c>
      <c r="L1" s="51">
        <f>ROUND(J1,0)</f>
        <v>62</v>
      </c>
      <c r="M1" s="52">
        <f>IF(L1&lt;1,0,1)</f>
        <v>1</v>
      </c>
      <c r="Q1" t="str">
        <f t="shared" ref="Q1:Q18" si="0">G1</f>
        <v>T5</v>
      </c>
      <c r="R1" s="51">
        <f t="shared" ref="R1:R18" si="1">M1+M19+M37+M55</f>
        <v>4</v>
      </c>
      <c r="W1" s="26"/>
      <c r="X1" s="62"/>
    </row>
    <row r="2" spans="1:24" ht="15.75" thickBot="1" x14ac:dyDescent="0.3">
      <c r="A2" s="91" t="s">
        <v>69</v>
      </c>
      <c r="B2" s="92" t="s">
        <v>72</v>
      </c>
      <c r="G2" s="29" t="str">
        <f>'FICHE PARTIE'!B31</f>
        <v>T18</v>
      </c>
      <c r="H2" s="29">
        <f>'FICHE PARTIE'!C31</f>
        <v>10</v>
      </c>
      <c r="I2" s="26"/>
      <c r="J2" s="47" t="s">
        <v>85</v>
      </c>
      <c r="K2" s="48" t="str">
        <f t="shared" ref="K2:K18" si="2">G2</f>
        <v>T18</v>
      </c>
      <c r="L2" s="51">
        <f>ROUND($J$1-1,0)</f>
        <v>61</v>
      </c>
      <c r="M2" s="52">
        <f t="shared" ref="M2:M65" si="3">IF(L2&lt;1,0,1)</f>
        <v>1</v>
      </c>
      <c r="Q2" t="str">
        <f t="shared" si="0"/>
        <v>T18</v>
      </c>
      <c r="R2" s="51">
        <f t="shared" si="1"/>
        <v>4</v>
      </c>
      <c r="X2" s="62"/>
    </row>
    <row r="3" spans="1:24" x14ac:dyDescent="0.25">
      <c r="A3" s="95" t="s">
        <v>70</v>
      </c>
      <c r="B3" s="92" t="s">
        <v>73</v>
      </c>
      <c r="G3" s="29" t="str">
        <f>'FICHE PARTIE'!B16</f>
        <v>T3</v>
      </c>
      <c r="H3" s="29">
        <f>'FICHE PARTIE'!C16</f>
        <v>1</v>
      </c>
      <c r="I3" s="26"/>
      <c r="K3" s="48" t="str">
        <f t="shared" si="2"/>
        <v>T3</v>
      </c>
      <c r="L3" s="51">
        <f>ROUND($J$1-2,0)</f>
        <v>60</v>
      </c>
      <c r="M3" s="52">
        <f t="shared" si="3"/>
        <v>1</v>
      </c>
      <c r="Q3" t="str">
        <f t="shared" si="0"/>
        <v>T3</v>
      </c>
      <c r="R3" s="51">
        <f t="shared" si="1"/>
        <v>4</v>
      </c>
      <c r="X3" s="62"/>
    </row>
    <row r="4" spans="1:24" x14ac:dyDescent="0.25">
      <c r="A4" s="20"/>
      <c r="B4" s="96" t="s">
        <v>74</v>
      </c>
      <c r="G4" s="29" t="str">
        <f>'FICHE PARTIE'!B22</f>
        <v>T9</v>
      </c>
      <c r="H4" s="29">
        <f>'FICHE PARTIE'!C22</f>
        <v>9</v>
      </c>
      <c r="I4" s="26"/>
      <c r="K4" s="48" t="str">
        <f t="shared" si="2"/>
        <v>T9</v>
      </c>
      <c r="L4" s="51">
        <f>ROUND($J$1-3,0)</f>
        <v>59</v>
      </c>
      <c r="M4" s="52">
        <f t="shared" si="3"/>
        <v>1</v>
      </c>
      <c r="Q4" t="str">
        <f t="shared" si="0"/>
        <v>T9</v>
      </c>
      <c r="R4" s="51">
        <f t="shared" si="1"/>
        <v>4</v>
      </c>
      <c r="X4" s="62"/>
    </row>
    <row r="5" spans="1:24" x14ac:dyDescent="0.25">
      <c r="G5" s="29" t="str">
        <f>'FICHE PARTIE'!B19</f>
        <v>T6</v>
      </c>
      <c r="H5" s="29">
        <f>'FICHE PARTIE'!C19</f>
        <v>17</v>
      </c>
      <c r="I5" s="26"/>
      <c r="K5" s="48" t="str">
        <f t="shared" si="2"/>
        <v>T6</v>
      </c>
      <c r="L5" s="51">
        <f>ROUND($J$1-4,0)</f>
        <v>58</v>
      </c>
      <c r="M5" s="52">
        <f t="shared" si="3"/>
        <v>1</v>
      </c>
      <c r="Q5" t="str">
        <f t="shared" si="0"/>
        <v>T6</v>
      </c>
      <c r="R5" s="51">
        <f t="shared" si="1"/>
        <v>4</v>
      </c>
      <c r="T5" s="43"/>
      <c r="X5" s="62"/>
    </row>
    <row r="6" spans="1:24" ht="15.75" thickBot="1" x14ac:dyDescent="0.3">
      <c r="G6" s="29" t="str">
        <f>'FICHE PARTIE'!B14</f>
        <v>T1</v>
      </c>
      <c r="H6" s="29">
        <f>'FICHE PARTIE'!C14</f>
        <v>13</v>
      </c>
      <c r="I6" s="26"/>
      <c r="K6" s="48" t="str">
        <f t="shared" si="2"/>
        <v>T1</v>
      </c>
      <c r="L6" s="51">
        <f>ROUND($J$1-5,0)</f>
        <v>57</v>
      </c>
      <c r="M6" s="52">
        <f t="shared" si="3"/>
        <v>1</v>
      </c>
      <c r="Q6" t="str">
        <f t="shared" si="0"/>
        <v>T1</v>
      </c>
      <c r="R6" s="51">
        <f t="shared" si="1"/>
        <v>4</v>
      </c>
      <c r="X6" s="62"/>
    </row>
    <row r="7" spans="1:24" ht="15.75" thickBot="1" x14ac:dyDescent="0.3">
      <c r="A7" s="68">
        <f>'FICHE PARTIE'!C5*'FICHE PARTIE'!C8/113+'FICHE PARTIE'!C9-'FICHE PARTIE'!C7</f>
        <v>62.256637168141594</v>
      </c>
      <c r="B7" s="69" t="s">
        <v>90</v>
      </c>
      <c r="C7" s="70"/>
      <c r="G7" s="29" t="str">
        <f>'FICHE PARTIE'!B15</f>
        <v>T2</v>
      </c>
      <c r="H7" s="29">
        <f>'FICHE PARTIE'!C15</f>
        <v>3</v>
      </c>
      <c r="I7" s="26"/>
      <c r="K7" s="48" t="str">
        <f t="shared" si="2"/>
        <v>T2</v>
      </c>
      <c r="L7" s="51">
        <f>ROUND($J$1-6,0)</f>
        <v>56</v>
      </c>
      <c r="M7" s="52">
        <f t="shared" si="3"/>
        <v>1</v>
      </c>
      <c r="Q7" t="str">
        <f t="shared" si="0"/>
        <v>T2</v>
      </c>
      <c r="R7" s="51">
        <f t="shared" si="1"/>
        <v>4</v>
      </c>
      <c r="X7" s="62"/>
    </row>
    <row r="8" spans="1:24" x14ac:dyDescent="0.25">
      <c r="G8" s="29" t="str">
        <f>'FICHE PARTIE'!B23</f>
        <v>T10</v>
      </c>
      <c r="H8" s="29">
        <f>'FICHE PARTIE'!C23</f>
        <v>14</v>
      </c>
      <c r="I8" s="26"/>
      <c r="K8" s="48" t="str">
        <f t="shared" si="2"/>
        <v>T10</v>
      </c>
      <c r="L8" s="51">
        <f>ROUND($J$1-7,0)</f>
        <v>55</v>
      </c>
      <c r="M8" s="52">
        <f t="shared" si="3"/>
        <v>1</v>
      </c>
      <c r="Q8" t="str">
        <f t="shared" si="0"/>
        <v>T10</v>
      </c>
      <c r="R8" s="51">
        <f t="shared" si="1"/>
        <v>4</v>
      </c>
      <c r="X8" s="62"/>
    </row>
    <row r="9" spans="1:24" x14ac:dyDescent="0.25">
      <c r="G9" s="29" t="str">
        <f>'FICHE PARTIE'!B21</f>
        <v>T8</v>
      </c>
      <c r="H9" s="29">
        <f>'FICHE PARTIE'!C21</f>
        <v>11</v>
      </c>
      <c r="I9" s="26"/>
      <c r="K9" s="48" t="str">
        <f t="shared" si="2"/>
        <v>T8</v>
      </c>
      <c r="L9" s="51">
        <f>ROUND($J$1-8,0)</f>
        <v>54</v>
      </c>
      <c r="M9" s="52">
        <f t="shared" si="3"/>
        <v>1</v>
      </c>
      <c r="N9" s="44"/>
      <c r="Q9" t="str">
        <f t="shared" si="0"/>
        <v>T8</v>
      </c>
      <c r="R9" s="51">
        <f t="shared" si="1"/>
        <v>3</v>
      </c>
      <c r="X9" s="62"/>
    </row>
    <row r="10" spans="1:24" x14ac:dyDescent="0.25">
      <c r="G10" s="29" t="str">
        <f>'FICHE PARTIE'!B27</f>
        <v>T14</v>
      </c>
      <c r="H10" s="29">
        <f>'FICHE PARTIE'!C27</f>
        <v>16</v>
      </c>
      <c r="I10" s="26"/>
      <c r="K10" s="48" t="str">
        <f t="shared" si="2"/>
        <v>T14</v>
      </c>
      <c r="L10" s="51">
        <f>ROUND($J$1-9,0)</f>
        <v>53</v>
      </c>
      <c r="M10" s="52">
        <f t="shared" si="3"/>
        <v>1</v>
      </c>
      <c r="N10" s="44"/>
      <c r="Q10" t="str">
        <f t="shared" si="0"/>
        <v>T14</v>
      </c>
      <c r="R10" s="51">
        <f t="shared" si="1"/>
        <v>3</v>
      </c>
      <c r="X10" s="62"/>
    </row>
    <row r="11" spans="1:24" x14ac:dyDescent="0.25">
      <c r="G11" s="29" t="str">
        <f>'FICHE PARTIE'!B25</f>
        <v>T12</v>
      </c>
      <c r="H11" s="29">
        <f>'FICHE PARTIE'!C25</f>
        <v>2</v>
      </c>
      <c r="I11" s="26"/>
      <c r="K11" s="48" t="str">
        <f t="shared" si="2"/>
        <v>T12</v>
      </c>
      <c r="L11" s="51">
        <f>ROUND($J$1-10,0)</f>
        <v>52</v>
      </c>
      <c r="M11" s="52">
        <f t="shared" si="3"/>
        <v>1</v>
      </c>
      <c r="Q11" t="str">
        <f t="shared" si="0"/>
        <v>T12</v>
      </c>
      <c r="R11" s="51">
        <f t="shared" si="1"/>
        <v>3</v>
      </c>
      <c r="X11" s="62"/>
    </row>
    <row r="12" spans="1:24" x14ac:dyDescent="0.25">
      <c r="G12" s="29" t="str">
        <f>'FICHE PARTIE'!B26</f>
        <v>T13</v>
      </c>
      <c r="H12" s="29">
        <f>'FICHE PARTIE'!C26</f>
        <v>8</v>
      </c>
      <c r="I12" s="26"/>
      <c r="K12" s="48" t="str">
        <f t="shared" si="2"/>
        <v>T13</v>
      </c>
      <c r="L12" s="51">
        <f>ROUND($J$1-11,0)</f>
        <v>51</v>
      </c>
      <c r="M12" s="52">
        <f t="shared" si="3"/>
        <v>1</v>
      </c>
      <c r="Q12" t="str">
        <f t="shared" si="0"/>
        <v>T13</v>
      </c>
      <c r="R12" s="51">
        <f t="shared" si="1"/>
        <v>3</v>
      </c>
    </row>
    <row r="13" spans="1:24" x14ac:dyDescent="0.25">
      <c r="G13" s="29" t="str">
        <f>'FICHE PARTIE'!B24</f>
        <v>T11</v>
      </c>
      <c r="H13" s="29">
        <f>'FICHE PARTIE'!C24</f>
        <v>4</v>
      </c>
      <c r="I13" s="26"/>
      <c r="K13" s="48" t="str">
        <f t="shared" si="2"/>
        <v>T11</v>
      </c>
      <c r="L13" s="51">
        <f>ROUND($J$1-12,0)</f>
        <v>50</v>
      </c>
      <c r="M13" s="52">
        <f t="shared" si="3"/>
        <v>1</v>
      </c>
      <c r="Q13" t="str">
        <f t="shared" si="0"/>
        <v>T11</v>
      </c>
      <c r="R13" s="51">
        <f t="shared" si="1"/>
        <v>3</v>
      </c>
    </row>
    <row r="14" spans="1:24" x14ac:dyDescent="0.25">
      <c r="G14" s="29" t="str">
        <f>'FICHE PARTIE'!B29</f>
        <v>T16</v>
      </c>
      <c r="H14" s="29">
        <f>'FICHE PARTIE'!C29</f>
        <v>6</v>
      </c>
      <c r="I14" s="26"/>
      <c r="K14" s="48" t="str">
        <f t="shared" si="2"/>
        <v>T16</v>
      </c>
      <c r="L14" s="51">
        <f>ROUND($J$1-13,0)</f>
        <v>49</v>
      </c>
      <c r="M14" s="52">
        <f t="shared" si="3"/>
        <v>1</v>
      </c>
      <c r="Q14" t="str">
        <f t="shared" si="0"/>
        <v>T16</v>
      </c>
      <c r="R14" s="51">
        <f t="shared" si="1"/>
        <v>3</v>
      </c>
    </row>
    <row r="15" spans="1:24" x14ac:dyDescent="0.25">
      <c r="G15" s="29" t="str">
        <f>'FICHE PARTIE'!B17</f>
        <v>T4</v>
      </c>
      <c r="H15" s="29">
        <f>'FICHE PARTIE'!C17</f>
        <v>7</v>
      </c>
      <c r="I15" s="26"/>
      <c r="K15" s="48" t="str">
        <f t="shared" si="2"/>
        <v>T4</v>
      </c>
      <c r="L15" s="51">
        <f>ROUND($J$1-14,0)</f>
        <v>48</v>
      </c>
      <c r="M15" s="52">
        <f t="shared" si="3"/>
        <v>1</v>
      </c>
      <c r="Q15" t="str">
        <f t="shared" si="0"/>
        <v>T4</v>
      </c>
      <c r="R15" s="51">
        <f t="shared" si="1"/>
        <v>3</v>
      </c>
    </row>
    <row r="16" spans="1:24" x14ac:dyDescent="0.25">
      <c r="G16" s="29" t="str">
        <f>'FICHE PARTIE'!B28</f>
        <v>T15</v>
      </c>
      <c r="H16" s="29">
        <f>'FICHE PARTIE'!C28</f>
        <v>18</v>
      </c>
      <c r="I16" s="26"/>
      <c r="K16" s="48" t="str">
        <f t="shared" si="2"/>
        <v>T15</v>
      </c>
      <c r="L16" s="51">
        <f>ROUND($J$1-15,0)</f>
        <v>47</v>
      </c>
      <c r="M16" s="52">
        <f t="shared" si="3"/>
        <v>1</v>
      </c>
      <c r="Q16" t="str">
        <f t="shared" si="0"/>
        <v>T15</v>
      </c>
      <c r="R16" s="51">
        <f t="shared" si="1"/>
        <v>3</v>
      </c>
    </row>
    <row r="17" spans="7:23" x14ac:dyDescent="0.25">
      <c r="G17" s="29" t="str">
        <f>'FICHE PARTIE'!B30</f>
        <v>T17</v>
      </c>
      <c r="H17" s="29">
        <f>'FICHE PARTIE'!C30</f>
        <v>12</v>
      </c>
      <c r="I17" s="26"/>
      <c r="K17" s="48" t="str">
        <f t="shared" si="2"/>
        <v>T17</v>
      </c>
      <c r="L17" s="51">
        <f>ROUND($J$1-16,0)</f>
        <v>46</v>
      </c>
      <c r="M17" s="52">
        <f t="shared" si="3"/>
        <v>1</v>
      </c>
      <c r="Q17" t="str">
        <f t="shared" si="0"/>
        <v>T17</v>
      </c>
      <c r="R17" s="51">
        <f t="shared" si="1"/>
        <v>3</v>
      </c>
    </row>
    <row r="18" spans="7:23" ht="15.75" thickBot="1" x14ac:dyDescent="0.3">
      <c r="G18" s="45" t="str">
        <f>'FICHE PARTIE'!B20</f>
        <v>T7</v>
      </c>
      <c r="H18" s="45">
        <f>'FICHE PARTIE'!C20</f>
        <v>5</v>
      </c>
      <c r="I18" s="26"/>
      <c r="K18" s="48" t="str">
        <f t="shared" si="2"/>
        <v>T7</v>
      </c>
      <c r="L18" s="51">
        <f>ROUND($J$1-17,0)</f>
        <v>45</v>
      </c>
      <c r="M18" s="52">
        <f t="shared" si="3"/>
        <v>1</v>
      </c>
      <c r="Q18" t="str">
        <f t="shared" si="0"/>
        <v>T7</v>
      </c>
      <c r="R18" s="51">
        <f t="shared" si="1"/>
        <v>3</v>
      </c>
    </row>
    <row r="19" spans="7:23" ht="15.75" thickBot="1" x14ac:dyDescent="0.3">
      <c r="G19" s="107" t="s">
        <v>84</v>
      </c>
      <c r="H19" s="108"/>
      <c r="K19" s="49" t="str">
        <f>G1</f>
        <v>T5</v>
      </c>
      <c r="L19" s="51">
        <f>ROUND($J$1-18,0)</f>
        <v>44</v>
      </c>
      <c r="M19" s="52">
        <f t="shared" si="3"/>
        <v>1</v>
      </c>
      <c r="N19" s="44"/>
    </row>
    <row r="20" spans="7:23" x14ac:dyDescent="0.25">
      <c r="K20" s="49" t="str">
        <f t="shared" ref="K20:K36" si="4">G2</f>
        <v>T18</v>
      </c>
      <c r="L20" s="51">
        <f>ROUND($J$1-19,0)</f>
        <v>43</v>
      </c>
      <c r="M20" s="52">
        <f t="shared" si="3"/>
        <v>1</v>
      </c>
      <c r="N20" s="44"/>
    </row>
    <row r="21" spans="7:23" ht="15.75" thickBot="1" x14ac:dyDescent="0.3">
      <c r="K21" s="49" t="str">
        <f t="shared" si="4"/>
        <v>T3</v>
      </c>
      <c r="L21" s="51">
        <f>ROUND($J$1-20,0)</f>
        <v>42</v>
      </c>
      <c r="M21" s="52">
        <f t="shared" si="3"/>
        <v>1</v>
      </c>
      <c r="N21" s="44"/>
      <c r="R21" s="67" t="s">
        <v>89</v>
      </c>
    </row>
    <row r="22" spans="7:23" x14ac:dyDescent="0.25">
      <c r="K22" s="49" t="str">
        <f t="shared" si="4"/>
        <v>T9</v>
      </c>
      <c r="L22" s="51">
        <f>ROUND($J$1-21,0)</f>
        <v>41</v>
      </c>
      <c r="M22" s="52">
        <f t="shared" si="3"/>
        <v>1</v>
      </c>
      <c r="N22" s="44"/>
      <c r="R22" s="53"/>
      <c r="S22" s="60"/>
      <c r="T22" s="60"/>
      <c r="U22" s="60"/>
      <c r="V22" s="60"/>
      <c r="W22" s="54"/>
    </row>
    <row r="23" spans="7:23" ht="15.75" thickBot="1" x14ac:dyDescent="0.3">
      <c r="K23" s="49" t="str">
        <f t="shared" si="4"/>
        <v>T6</v>
      </c>
      <c r="L23" s="51">
        <f>ROUND($J$1-22,0)</f>
        <v>40</v>
      </c>
      <c r="M23" s="52">
        <f t="shared" si="3"/>
        <v>1</v>
      </c>
      <c r="N23" s="44"/>
      <c r="R23" s="55" t="s">
        <v>86</v>
      </c>
      <c r="S23" s="59"/>
      <c r="T23" s="59"/>
      <c r="U23" s="59" t="s">
        <v>87</v>
      </c>
      <c r="V23" s="59"/>
      <c r="W23" s="56"/>
    </row>
    <row r="24" spans="7:23" x14ac:dyDescent="0.25">
      <c r="K24" s="49" t="str">
        <f t="shared" si="4"/>
        <v>T1</v>
      </c>
      <c r="L24" s="51">
        <f>ROUND($J$1-23,0)</f>
        <v>39</v>
      </c>
      <c r="M24" s="52">
        <f t="shared" si="3"/>
        <v>1</v>
      </c>
      <c r="N24" s="44"/>
      <c r="O24" s="44"/>
      <c r="R24" s="53">
        <v>4</v>
      </c>
      <c r="S24" s="54">
        <f>IF(R24&lt;1,0,1)</f>
        <v>1</v>
      </c>
      <c r="T24" s="59"/>
      <c r="U24" s="63">
        <f>J1</f>
        <v>62.256637168141594</v>
      </c>
      <c r="V24" s="60"/>
      <c r="W24" s="54">
        <f>IF(U24&lt;1,0,1)</f>
        <v>1</v>
      </c>
    </row>
    <row r="25" spans="7:23" x14ac:dyDescent="0.25">
      <c r="K25" s="49" t="str">
        <f t="shared" si="4"/>
        <v>T2</v>
      </c>
      <c r="L25" s="51">
        <f>ROUND($J$1-24,0)</f>
        <v>38</v>
      </c>
      <c r="M25" s="52">
        <f t="shared" si="3"/>
        <v>1</v>
      </c>
      <c r="N25" s="44"/>
      <c r="O25" s="44"/>
      <c r="R25" s="55">
        <v>3</v>
      </c>
      <c r="S25" s="56">
        <f>IF(R25&lt;1,0,1)</f>
        <v>1</v>
      </c>
      <c r="T25" s="59"/>
      <c r="U25" s="64">
        <f>J1-1</f>
        <v>61.256637168141594</v>
      </c>
      <c r="V25" s="59"/>
      <c r="W25" s="56">
        <f>IF(U25&lt;1,0,1)</f>
        <v>1</v>
      </c>
    </row>
    <row r="26" spans="7:23" x14ac:dyDescent="0.25">
      <c r="K26" s="49" t="str">
        <f t="shared" si="4"/>
        <v>T10</v>
      </c>
      <c r="L26" s="51">
        <f>ROUND($J$1-25,0)</f>
        <v>37</v>
      </c>
      <c r="M26" s="52">
        <f t="shared" si="3"/>
        <v>1</v>
      </c>
      <c r="R26" s="55">
        <v>2</v>
      </c>
      <c r="S26" s="56">
        <f>IF(R26&lt;1,0,1)</f>
        <v>1</v>
      </c>
      <c r="T26" s="59"/>
      <c r="U26" s="64">
        <f>J1-2</f>
        <v>60.256637168141594</v>
      </c>
      <c r="V26" s="59"/>
      <c r="W26" s="56">
        <f>IF(U26&lt;1,0,1)</f>
        <v>1</v>
      </c>
    </row>
    <row r="27" spans="7:23" x14ac:dyDescent="0.25">
      <c r="K27" s="49" t="str">
        <f t="shared" si="4"/>
        <v>T8</v>
      </c>
      <c r="L27" s="51">
        <f>ROUND($J$1-26,0)</f>
        <v>36</v>
      </c>
      <c r="M27" s="52">
        <f t="shared" si="3"/>
        <v>1</v>
      </c>
      <c r="R27" s="55">
        <v>1</v>
      </c>
      <c r="S27" s="56">
        <f>IF(R27&lt;1,0,1)</f>
        <v>1</v>
      </c>
      <c r="T27" s="59"/>
      <c r="U27" s="64">
        <f>J1-3</f>
        <v>59.256637168141594</v>
      </c>
      <c r="V27" s="59"/>
      <c r="W27" s="56">
        <f>IF(U27&lt;1,0,1)</f>
        <v>1</v>
      </c>
    </row>
    <row r="28" spans="7:23" ht="15.75" thickBot="1" x14ac:dyDescent="0.3">
      <c r="K28" s="49" t="str">
        <f t="shared" si="4"/>
        <v>T14</v>
      </c>
      <c r="L28" s="51">
        <f>ROUND($J$1-27,0)</f>
        <v>35</v>
      </c>
      <c r="M28" s="52">
        <f t="shared" si="3"/>
        <v>1</v>
      </c>
      <c r="R28" s="57">
        <v>0</v>
      </c>
      <c r="S28" s="58">
        <f>IF(R28&lt;1,0,1)</f>
        <v>0</v>
      </c>
      <c r="T28" s="59"/>
      <c r="U28" s="65">
        <f>J1-4</f>
        <v>58.256637168141594</v>
      </c>
      <c r="V28" s="61"/>
      <c r="W28" s="58">
        <f>IF(U28&lt;1,0,1)</f>
        <v>1</v>
      </c>
    </row>
    <row r="29" spans="7:23" ht="15.75" thickBot="1" x14ac:dyDescent="0.3">
      <c r="K29" s="49" t="str">
        <f t="shared" si="4"/>
        <v>T12</v>
      </c>
      <c r="L29" s="51">
        <f>ROUND($J$1-28,0)</f>
        <v>34</v>
      </c>
      <c r="M29" s="52">
        <f t="shared" si="3"/>
        <v>1</v>
      </c>
      <c r="R29" s="55"/>
      <c r="S29" s="59"/>
      <c r="T29" s="59"/>
      <c r="U29" s="59"/>
      <c r="V29" s="59"/>
      <c r="W29" s="56"/>
    </row>
    <row r="30" spans="7:23" x14ac:dyDescent="0.25">
      <c r="K30" s="49" t="str">
        <f t="shared" si="4"/>
        <v>T13</v>
      </c>
      <c r="L30" s="51">
        <f>ROUND($J$1-29,0)</f>
        <v>33</v>
      </c>
      <c r="M30" s="52">
        <f t="shared" si="3"/>
        <v>1</v>
      </c>
      <c r="R30" s="66" t="s">
        <v>88</v>
      </c>
      <c r="S30" s="59" t="str">
        <f ca="1">_xlfn.FORMULATEXT(U30)</f>
        <v>=ARRONDI(J1;0)</v>
      </c>
      <c r="T30" s="59"/>
      <c r="U30" s="63">
        <f>ROUND(J1,0)</f>
        <v>62</v>
      </c>
      <c r="V30" s="60"/>
      <c r="W30" s="54">
        <f t="shared" ref="W30:W38" si="5">IF(U30&lt;1,0,1)</f>
        <v>1</v>
      </c>
    </row>
    <row r="31" spans="7:23" x14ac:dyDescent="0.25">
      <c r="K31" s="49" t="str">
        <f t="shared" si="4"/>
        <v>T11</v>
      </c>
      <c r="L31" s="51">
        <f>ROUND($J$1-30,0)</f>
        <v>32</v>
      </c>
      <c r="M31" s="52">
        <f t="shared" si="3"/>
        <v>1</v>
      </c>
      <c r="R31" s="55"/>
      <c r="S31" s="59" t="str">
        <f ca="1">_xlfn.FORMULATEXT(U31)</f>
        <v>=ARRONDI($J$1-1;0)</v>
      </c>
      <c r="T31" s="59"/>
      <c r="U31" s="64">
        <f>ROUND($J$1-1,0)</f>
        <v>61</v>
      </c>
      <c r="V31" s="59"/>
      <c r="W31" s="56">
        <f t="shared" si="5"/>
        <v>1</v>
      </c>
    </row>
    <row r="32" spans="7:23" x14ac:dyDescent="0.25">
      <c r="K32" s="49" t="str">
        <f t="shared" si="4"/>
        <v>T16</v>
      </c>
      <c r="L32" s="51">
        <f>ROUND($J$1-31,0)</f>
        <v>31</v>
      </c>
      <c r="M32" s="52">
        <f t="shared" si="3"/>
        <v>1</v>
      </c>
      <c r="R32" s="55"/>
      <c r="S32" s="59" t="str">
        <f ca="1">_xlfn.FORMULATEXT(U32)</f>
        <v>=ARRONDI($J$1-2;0)</v>
      </c>
      <c r="T32" s="59"/>
      <c r="U32" s="64">
        <f>ROUND($J$1-2,0)</f>
        <v>60</v>
      </c>
      <c r="V32" s="59"/>
      <c r="W32" s="56">
        <f t="shared" si="5"/>
        <v>1</v>
      </c>
    </row>
    <row r="33" spans="11:23" x14ac:dyDescent="0.25">
      <c r="K33" s="49" t="str">
        <f t="shared" si="4"/>
        <v>T4</v>
      </c>
      <c r="L33" s="51">
        <f>ROUND($J$1-32,0)</f>
        <v>30</v>
      </c>
      <c r="M33" s="52">
        <f t="shared" si="3"/>
        <v>1</v>
      </c>
      <c r="R33" s="55"/>
      <c r="S33" s="59" t="str">
        <f ca="1">_xlfn.FORMULATEXT(U33)</f>
        <v>=ARRONDI($J$1-3;0)</v>
      </c>
      <c r="T33" s="59"/>
      <c r="U33" s="64">
        <f>ROUND($J$1-3,0)</f>
        <v>59</v>
      </c>
      <c r="V33" s="59"/>
      <c r="W33" s="56">
        <f t="shared" si="5"/>
        <v>1</v>
      </c>
    </row>
    <row r="34" spans="11:23" ht="15.75" thickBot="1" x14ac:dyDescent="0.3">
      <c r="K34" s="49" t="str">
        <f t="shared" si="4"/>
        <v>T15</v>
      </c>
      <c r="L34" s="51">
        <f>ROUND($J$1-33,0)</f>
        <v>29</v>
      </c>
      <c r="M34" s="52">
        <f t="shared" si="3"/>
        <v>1</v>
      </c>
      <c r="R34" s="55"/>
      <c r="S34" s="59" t="str">
        <f ca="1">_xlfn.FORMULATEXT(U34)</f>
        <v>=ARRONDI($J$1-4;0)</v>
      </c>
      <c r="T34" s="59"/>
      <c r="U34" s="65">
        <f>ROUND($J$1-4,0)</f>
        <v>58</v>
      </c>
      <c r="V34" s="61"/>
      <c r="W34" s="58">
        <f t="shared" si="5"/>
        <v>1</v>
      </c>
    </row>
    <row r="35" spans="11:23" x14ac:dyDescent="0.25">
      <c r="K35" s="49" t="str">
        <f t="shared" si="4"/>
        <v>T17</v>
      </c>
      <c r="L35" s="51">
        <f>ROUND($J$1-34,0)</f>
        <v>28</v>
      </c>
      <c r="M35" s="52">
        <f t="shared" si="3"/>
        <v>1</v>
      </c>
      <c r="N35" s="44"/>
      <c r="O35" s="44"/>
      <c r="R35" s="55"/>
      <c r="S35" s="59"/>
      <c r="T35" s="59"/>
      <c r="U35" s="63">
        <f>ROUND(J6,0)</f>
        <v>0</v>
      </c>
      <c r="V35" s="59"/>
      <c r="W35" s="54">
        <f t="shared" si="5"/>
        <v>0</v>
      </c>
    </row>
    <row r="36" spans="11:23" x14ac:dyDescent="0.25">
      <c r="K36" s="49" t="str">
        <f t="shared" si="4"/>
        <v>T7</v>
      </c>
      <c r="L36" s="51">
        <f>ROUND($J$1-35,0)</f>
        <v>27</v>
      </c>
      <c r="M36" s="52">
        <f t="shared" si="3"/>
        <v>1</v>
      </c>
      <c r="N36" s="44"/>
      <c r="O36" s="44"/>
      <c r="R36" s="55"/>
      <c r="S36" s="59"/>
      <c r="T36" s="59"/>
      <c r="U36" s="64">
        <f>ROUND($J$1-1,0)</f>
        <v>61</v>
      </c>
      <c r="V36" s="59"/>
      <c r="W36" s="56">
        <f t="shared" si="5"/>
        <v>1</v>
      </c>
    </row>
    <row r="37" spans="11:23" x14ac:dyDescent="0.25">
      <c r="K37" s="48" t="str">
        <f>G1</f>
        <v>T5</v>
      </c>
      <c r="L37" s="51">
        <f>ROUND($J$1-36,0)</f>
        <v>26</v>
      </c>
      <c r="M37" s="52">
        <f t="shared" si="3"/>
        <v>1</v>
      </c>
      <c r="N37" s="44"/>
      <c r="O37" s="44"/>
      <c r="R37" s="55"/>
      <c r="S37" s="59"/>
      <c r="T37" s="59"/>
      <c r="U37" s="64">
        <f>ROUND($J$1-2,0)</f>
        <v>60</v>
      </c>
      <c r="V37" s="59"/>
      <c r="W37" s="56">
        <f t="shared" si="5"/>
        <v>1</v>
      </c>
    </row>
    <row r="38" spans="11:23" ht="15.75" thickBot="1" x14ac:dyDescent="0.3">
      <c r="K38" s="48" t="str">
        <f t="shared" ref="K38:K54" si="6">G2</f>
        <v>T18</v>
      </c>
      <c r="L38" s="51">
        <f>ROUND($J$1-37,0)</f>
        <v>25</v>
      </c>
      <c r="M38" s="52">
        <f t="shared" si="3"/>
        <v>1</v>
      </c>
      <c r="N38" s="44"/>
      <c r="O38" s="44"/>
      <c r="R38" s="57"/>
      <c r="S38" s="61"/>
      <c r="T38" s="61"/>
      <c r="U38" s="65">
        <f>ROUND($J$1-3,0)</f>
        <v>59</v>
      </c>
      <c r="V38" s="61"/>
      <c r="W38" s="58">
        <f t="shared" si="5"/>
        <v>1</v>
      </c>
    </row>
    <row r="39" spans="11:23" x14ac:dyDescent="0.25">
      <c r="K39" s="48" t="str">
        <f t="shared" si="6"/>
        <v>T3</v>
      </c>
      <c r="L39" s="51">
        <f>ROUND($J$1-38,0)</f>
        <v>24</v>
      </c>
      <c r="M39" s="52">
        <f t="shared" si="3"/>
        <v>1</v>
      </c>
      <c r="N39" s="44"/>
      <c r="O39" s="44"/>
    </row>
    <row r="40" spans="11:23" x14ac:dyDescent="0.25">
      <c r="K40" s="48" t="str">
        <f t="shared" si="6"/>
        <v>T9</v>
      </c>
      <c r="L40" s="51">
        <f>ROUND($J$1-39,0)</f>
        <v>23</v>
      </c>
      <c r="M40" s="52">
        <f t="shared" si="3"/>
        <v>1</v>
      </c>
      <c r="N40" s="44"/>
      <c r="O40" s="44"/>
    </row>
    <row r="41" spans="11:23" x14ac:dyDescent="0.25">
      <c r="K41" s="48" t="str">
        <f t="shared" si="6"/>
        <v>T6</v>
      </c>
      <c r="L41" s="51">
        <f>ROUND($J$1-40,0)</f>
        <v>22</v>
      </c>
      <c r="M41" s="52">
        <f t="shared" si="3"/>
        <v>1</v>
      </c>
      <c r="N41" s="44"/>
      <c r="O41" s="44"/>
    </row>
    <row r="42" spans="11:23" x14ac:dyDescent="0.25">
      <c r="K42" s="48" t="str">
        <f t="shared" si="6"/>
        <v>T1</v>
      </c>
      <c r="L42" s="51">
        <f>ROUND($J$1-41,0)</f>
        <v>21</v>
      </c>
      <c r="M42" s="52">
        <f t="shared" si="3"/>
        <v>1</v>
      </c>
      <c r="N42" s="44"/>
      <c r="O42" s="44"/>
    </row>
    <row r="43" spans="11:23" x14ac:dyDescent="0.25">
      <c r="K43" s="48" t="str">
        <f t="shared" si="6"/>
        <v>T2</v>
      </c>
      <c r="L43" s="51">
        <f>ROUND($J$1-42,0)</f>
        <v>20</v>
      </c>
      <c r="M43" s="52">
        <f t="shared" si="3"/>
        <v>1</v>
      </c>
    </row>
    <row r="44" spans="11:23" x14ac:dyDescent="0.25">
      <c r="K44" s="48" t="str">
        <f t="shared" si="6"/>
        <v>T10</v>
      </c>
      <c r="L44" s="51">
        <f>ROUND($J$1-43,0)</f>
        <v>19</v>
      </c>
      <c r="M44" s="52">
        <f t="shared" si="3"/>
        <v>1</v>
      </c>
    </row>
    <row r="45" spans="11:23" x14ac:dyDescent="0.25">
      <c r="K45" s="48" t="str">
        <f t="shared" si="6"/>
        <v>T8</v>
      </c>
      <c r="L45" s="51">
        <f>ROUND($J$1-44,0)</f>
        <v>18</v>
      </c>
      <c r="M45" s="52">
        <f t="shared" si="3"/>
        <v>1</v>
      </c>
    </row>
    <row r="46" spans="11:23" x14ac:dyDescent="0.25">
      <c r="K46" s="48" t="str">
        <f t="shared" si="6"/>
        <v>T14</v>
      </c>
      <c r="L46" s="51">
        <f>ROUND($J$1-45,0)</f>
        <v>17</v>
      </c>
      <c r="M46" s="52">
        <f t="shared" si="3"/>
        <v>1</v>
      </c>
    </row>
    <row r="47" spans="11:23" x14ac:dyDescent="0.25">
      <c r="K47" s="48" t="str">
        <f t="shared" si="6"/>
        <v>T12</v>
      </c>
      <c r="L47" s="51">
        <f>ROUND($J$1-46,0)</f>
        <v>16</v>
      </c>
      <c r="M47" s="52">
        <f t="shared" si="3"/>
        <v>1</v>
      </c>
    </row>
    <row r="48" spans="11:23" x14ac:dyDescent="0.25">
      <c r="K48" s="48" t="str">
        <f t="shared" si="6"/>
        <v>T13</v>
      </c>
      <c r="L48" s="51">
        <f>ROUND($J$1-47,0)</f>
        <v>15</v>
      </c>
      <c r="M48" s="52">
        <f t="shared" si="3"/>
        <v>1</v>
      </c>
    </row>
    <row r="49" spans="11:13" x14ac:dyDescent="0.25">
      <c r="K49" s="48" t="str">
        <f t="shared" si="6"/>
        <v>T11</v>
      </c>
      <c r="L49" s="51">
        <f>ROUND($J$1-48,0)</f>
        <v>14</v>
      </c>
      <c r="M49" s="52">
        <f t="shared" si="3"/>
        <v>1</v>
      </c>
    </row>
    <row r="50" spans="11:13" x14ac:dyDescent="0.25">
      <c r="K50" s="48" t="str">
        <f t="shared" si="6"/>
        <v>T16</v>
      </c>
      <c r="L50" s="51">
        <f>ROUND($J$1-49,0)</f>
        <v>13</v>
      </c>
      <c r="M50" s="52">
        <f t="shared" si="3"/>
        <v>1</v>
      </c>
    </row>
    <row r="51" spans="11:13" x14ac:dyDescent="0.25">
      <c r="K51" s="48" t="str">
        <f t="shared" si="6"/>
        <v>T4</v>
      </c>
      <c r="L51" s="51">
        <f>ROUND($J$1-50,0)</f>
        <v>12</v>
      </c>
      <c r="M51" s="52">
        <f t="shared" si="3"/>
        <v>1</v>
      </c>
    </row>
    <row r="52" spans="11:13" x14ac:dyDescent="0.25">
      <c r="K52" s="48" t="str">
        <f t="shared" si="6"/>
        <v>T15</v>
      </c>
      <c r="L52" s="51">
        <f>ROUND($J$1-51,0)</f>
        <v>11</v>
      </c>
      <c r="M52" s="52">
        <f t="shared" si="3"/>
        <v>1</v>
      </c>
    </row>
    <row r="53" spans="11:13" x14ac:dyDescent="0.25">
      <c r="K53" s="48" t="str">
        <f t="shared" si="6"/>
        <v>T17</v>
      </c>
      <c r="L53" s="51">
        <f>ROUND($J$1-52,0)</f>
        <v>10</v>
      </c>
      <c r="M53" s="52">
        <f t="shared" si="3"/>
        <v>1</v>
      </c>
    </row>
    <row r="54" spans="11:13" x14ac:dyDescent="0.25">
      <c r="K54" s="50" t="str">
        <f t="shared" si="6"/>
        <v>T7</v>
      </c>
      <c r="L54" s="51">
        <f>ROUND($J$1-53,0)</f>
        <v>9</v>
      </c>
      <c r="M54" s="52">
        <f t="shared" si="3"/>
        <v>1</v>
      </c>
    </row>
    <row r="55" spans="11:13" x14ac:dyDescent="0.25">
      <c r="K55" s="49" t="str">
        <f>G1</f>
        <v>T5</v>
      </c>
      <c r="L55" s="51">
        <f>ROUND($J$1-54,0)</f>
        <v>8</v>
      </c>
      <c r="M55" s="52">
        <f t="shared" si="3"/>
        <v>1</v>
      </c>
    </row>
    <row r="56" spans="11:13" x14ac:dyDescent="0.25">
      <c r="K56" s="49" t="str">
        <f>G2</f>
        <v>T18</v>
      </c>
      <c r="L56" s="51">
        <f>ROUND($J$1-55,0)</f>
        <v>7</v>
      </c>
      <c r="M56" s="52">
        <f t="shared" si="3"/>
        <v>1</v>
      </c>
    </row>
    <row r="57" spans="11:13" x14ac:dyDescent="0.25">
      <c r="K57" s="49" t="str">
        <f t="shared" ref="K57:K70" si="7">G3</f>
        <v>T3</v>
      </c>
      <c r="L57" s="51">
        <f>ROUND($J$1-56,0)</f>
        <v>6</v>
      </c>
      <c r="M57" s="52">
        <f t="shared" si="3"/>
        <v>1</v>
      </c>
    </row>
    <row r="58" spans="11:13" x14ac:dyDescent="0.25">
      <c r="K58" s="49" t="str">
        <f t="shared" si="7"/>
        <v>T9</v>
      </c>
      <c r="L58" s="51">
        <f>ROUND($J$1-57,0)</f>
        <v>5</v>
      </c>
      <c r="M58" s="52">
        <f t="shared" si="3"/>
        <v>1</v>
      </c>
    </row>
    <row r="59" spans="11:13" x14ac:dyDescent="0.25">
      <c r="K59" s="49" t="str">
        <f t="shared" si="7"/>
        <v>T6</v>
      </c>
      <c r="L59" s="51">
        <f>ROUND($J$1-58,0)</f>
        <v>4</v>
      </c>
      <c r="M59" s="52">
        <f t="shared" si="3"/>
        <v>1</v>
      </c>
    </row>
    <row r="60" spans="11:13" x14ac:dyDescent="0.25">
      <c r="K60" s="49" t="str">
        <f t="shared" si="7"/>
        <v>T1</v>
      </c>
      <c r="L60" s="51">
        <f>ROUND($J$1-59,0)</f>
        <v>3</v>
      </c>
      <c r="M60" s="52">
        <f t="shared" si="3"/>
        <v>1</v>
      </c>
    </row>
    <row r="61" spans="11:13" x14ac:dyDescent="0.25">
      <c r="K61" s="49" t="str">
        <f t="shared" si="7"/>
        <v>T2</v>
      </c>
      <c r="L61" s="51">
        <f>ROUND($J$1-60,0)</f>
        <v>2</v>
      </c>
      <c r="M61" s="52">
        <f t="shared" si="3"/>
        <v>1</v>
      </c>
    </row>
    <row r="62" spans="11:13" x14ac:dyDescent="0.25">
      <c r="K62" s="49" t="str">
        <f t="shared" si="7"/>
        <v>T10</v>
      </c>
      <c r="L62" s="51">
        <f>ROUND($J$1-61,0)</f>
        <v>1</v>
      </c>
      <c r="M62" s="52">
        <f t="shared" si="3"/>
        <v>1</v>
      </c>
    </row>
    <row r="63" spans="11:13" x14ac:dyDescent="0.25">
      <c r="K63" s="49" t="str">
        <f t="shared" si="7"/>
        <v>T8</v>
      </c>
      <c r="L63" s="51">
        <f>ROUND($J$1-62,0)</f>
        <v>0</v>
      </c>
      <c r="M63" s="52">
        <f t="shared" si="3"/>
        <v>0</v>
      </c>
    </row>
    <row r="64" spans="11:13" x14ac:dyDescent="0.25">
      <c r="K64" s="49" t="str">
        <f t="shared" si="7"/>
        <v>T14</v>
      </c>
      <c r="L64" s="51">
        <f>ROUND($J$1-63,0)</f>
        <v>-1</v>
      </c>
      <c r="M64" s="52">
        <f t="shared" si="3"/>
        <v>0</v>
      </c>
    </row>
    <row r="65" spans="11:13" x14ac:dyDescent="0.25">
      <c r="K65" s="49" t="str">
        <f t="shared" si="7"/>
        <v>T12</v>
      </c>
      <c r="L65" s="51">
        <f>ROUND($J$1-64,0)</f>
        <v>-2</v>
      </c>
      <c r="M65" s="52">
        <f t="shared" si="3"/>
        <v>0</v>
      </c>
    </row>
    <row r="66" spans="11:13" x14ac:dyDescent="0.25">
      <c r="K66" s="49" t="str">
        <f t="shared" si="7"/>
        <v>T13</v>
      </c>
      <c r="L66" s="51">
        <f>ROUND($J$1-65,0)</f>
        <v>-3</v>
      </c>
      <c r="M66" s="52">
        <f t="shared" ref="M66:M72" si="8">IF(L66&lt;1,0,1)</f>
        <v>0</v>
      </c>
    </row>
    <row r="67" spans="11:13" x14ac:dyDescent="0.25">
      <c r="K67" s="49" t="str">
        <f t="shared" si="7"/>
        <v>T11</v>
      </c>
      <c r="L67" s="51">
        <f>ROUND($J$1-66,0)</f>
        <v>-4</v>
      </c>
      <c r="M67" s="52">
        <f t="shared" si="8"/>
        <v>0</v>
      </c>
    </row>
    <row r="68" spans="11:13" x14ac:dyDescent="0.25">
      <c r="K68" s="49" t="str">
        <f t="shared" si="7"/>
        <v>T16</v>
      </c>
      <c r="L68" s="51">
        <f>ROUND($J$1-67,0)</f>
        <v>-5</v>
      </c>
      <c r="M68" s="52">
        <f t="shared" si="8"/>
        <v>0</v>
      </c>
    </row>
    <row r="69" spans="11:13" x14ac:dyDescent="0.25">
      <c r="K69" s="49" t="str">
        <f t="shared" si="7"/>
        <v>T4</v>
      </c>
      <c r="L69" s="51">
        <f>ROUND($J$1-68,0)</f>
        <v>-6</v>
      </c>
      <c r="M69" s="52">
        <f t="shared" si="8"/>
        <v>0</v>
      </c>
    </row>
    <row r="70" spans="11:13" x14ac:dyDescent="0.25">
      <c r="K70" s="49" t="str">
        <f t="shared" si="7"/>
        <v>T15</v>
      </c>
      <c r="L70" s="51">
        <f>ROUND($J$1-69,0)</f>
        <v>-7</v>
      </c>
      <c r="M70" s="52">
        <f t="shared" si="8"/>
        <v>0</v>
      </c>
    </row>
    <row r="71" spans="11:13" x14ac:dyDescent="0.25">
      <c r="K71" s="49" t="str">
        <f>G17</f>
        <v>T17</v>
      </c>
      <c r="L71" s="51">
        <f>ROUND($J$1-70,0)</f>
        <v>-8</v>
      </c>
      <c r="M71" s="52">
        <f t="shared" si="8"/>
        <v>0</v>
      </c>
    </row>
    <row r="72" spans="11:13" x14ac:dyDescent="0.25">
      <c r="K72" s="49" t="str">
        <f>G18</f>
        <v>T7</v>
      </c>
      <c r="L72" s="51">
        <f>ROUND($J$1-71,0)</f>
        <v>-9</v>
      </c>
      <c r="M72" s="52">
        <f t="shared" si="8"/>
        <v>0</v>
      </c>
    </row>
  </sheetData>
  <sheetProtection algorithmName="SHA-512" hashValue="dz9/CFxscDRZs+7iJ7TzwrpI98icqZI6/aNXYdEIPqlQ9DSdcjnRclOQt4VC1A4kLm2pbvRKTzOC8MkkW/JfKQ==" saltValue="vw03qHuwlT7YSFmy3utOEA==" spinCount="100000" sheet="1" objects="1" scenarios="1"/>
  <mergeCells count="1">
    <mergeCell ref="G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GOLFS</vt:lpstr>
      <vt:lpstr>FICHE PARTIE</vt:lpstr>
      <vt:lpstr>liste déroulante</vt:lpstr>
      <vt:lpstr>nom</vt:lpstr>
      <vt:lpstr>slope</vt:lpstr>
      <vt:lpstr>sssgolf</vt:lpstr>
      <vt:lpstr>trou1</vt:lpstr>
      <vt:lpstr>trou10</vt:lpstr>
      <vt:lpstr>trou11</vt:lpstr>
      <vt:lpstr>trou12</vt:lpstr>
      <vt:lpstr>trou13</vt:lpstr>
      <vt:lpstr>trou14</vt:lpstr>
      <vt:lpstr>trou15</vt:lpstr>
      <vt:lpstr>trou16</vt:lpstr>
      <vt:lpstr>trou17</vt:lpstr>
      <vt:lpstr>trou18</vt:lpstr>
      <vt:lpstr>trou2</vt:lpstr>
      <vt:lpstr>trou3</vt:lpstr>
      <vt:lpstr>trou4</vt:lpstr>
      <vt:lpstr>trou5</vt:lpstr>
      <vt:lpstr>trou6</vt:lpstr>
      <vt:lpstr>trou7</vt:lpstr>
      <vt:lpstr>trou8</vt:lpstr>
      <vt:lpstr>trou9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</dc:creator>
  <cp:lastModifiedBy>BiBi</cp:lastModifiedBy>
  <cp:revision>12</cp:revision>
  <cp:lastPrinted>2020-02-27T15:56:50Z</cp:lastPrinted>
  <dcterms:created xsi:type="dcterms:W3CDTF">2020-01-31T16:16:59Z</dcterms:created>
  <dcterms:modified xsi:type="dcterms:W3CDTF">2021-04-18T06:17:47Z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